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tabRatio="554"/>
  </bookViews>
  <sheets>
    <sheet name="产业类" sheetId="51" r:id="rId1"/>
    <sheet name="基础设施类" sheetId="52" r:id="rId2"/>
    <sheet name="民生保障类" sheetId="53" r:id="rId3"/>
    <sheet name="开" sheetId="29" state="hidden" r:id="rId4"/>
    <sheet name="续 " sheetId="30" state="hidden" r:id="rId5"/>
    <sheet name="竣" sheetId="25" state="hidden" r:id="rId6"/>
    <sheet name="行业" sheetId="33" state="hidden" r:id="rId7"/>
    <sheet name="单位" sheetId="32" state="hidden" r:id="rId8"/>
    <sheet name="类别" sheetId="37" state="hidden" r:id="rId9"/>
    <sheet name="资金" sheetId="38" state="hidden" r:id="rId10"/>
    <sheet name="县账" sheetId="43" state="hidden" r:id="rId11"/>
    <sheet name="行账" sheetId="44" state="hidden" r:id="rId12"/>
    <sheet name="删除" sheetId="39" state="hidden" r:id="rId13"/>
  </sheets>
  <externalReferences>
    <externalReference r:id="rId14"/>
    <externalReference r:id="rId15"/>
  </externalReferences>
  <definedNames>
    <definedName name="_xlnm._FilterDatabase" localSheetId="0" hidden="1">产业类!$A$6:$BN$216</definedName>
    <definedName name="_xlnm._FilterDatabase" localSheetId="1" hidden="1">基础设施类!$A$6:$BN$219</definedName>
    <definedName name="_xlnm._FilterDatabase" localSheetId="2" hidden="1">民生保障类!$A$6:$BQ$57</definedName>
    <definedName name="_xlnm._FilterDatabase" localSheetId="3" hidden="1">开!$A$6:$BX$213</definedName>
    <definedName name="_xlnm._FilterDatabase" localSheetId="4" hidden="1">'续 '!$A$6:$BV$198</definedName>
    <definedName name="_xlnm._FilterDatabase" localSheetId="5" hidden="1">竣!$A$7:$BV$130</definedName>
    <definedName name="_xlnm._FilterDatabase" localSheetId="6" hidden="1">行业!$A$6:$AC$61</definedName>
    <definedName name="_xlnm._FilterDatabase" localSheetId="7" hidden="1">单位!$A$6:$AB$70</definedName>
    <definedName name="_xlnm._FilterDatabase" localSheetId="8" hidden="1">类别!$A$6:$Z$71</definedName>
    <definedName name="_xlnm._FilterDatabase" localSheetId="9" hidden="1">资金!$A$6:$F$69</definedName>
    <definedName name="_xlnm._FilterDatabase" localSheetId="12" hidden="1">删除!$A$3:$Q$47</definedName>
    <definedName name="_xlnm.Print_Area" localSheetId="7">单位!$A$1:$AC$70</definedName>
    <definedName name="_xlnm.Print_Area" localSheetId="6">行业!$A$1:$AD$56</definedName>
    <definedName name="_xlnm.Print_Area" localSheetId="5">竣!$A$2:$AN$130</definedName>
    <definedName name="_xlnm.Print_Area" localSheetId="3">开!$A$1:$AV$213</definedName>
    <definedName name="_xlnm.Print_Area" localSheetId="8">类别!$A$2:$AA$71</definedName>
    <definedName name="_xlnm.Print_Area" localSheetId="2">民生保障类!$A$1:$BN$58</definedName>
    <definedName name="_xlnm.Print_Area" localSheetId="4">'续 '!$A$1:$AN$198</definedName>
    <definedName name="_xlnm.Print_Area" localSheetId="9">资金!$A$1:$T$69</definedName>
    <definedName name="_xlnm.Print_Titles" localSheetId="0">产业类!$4:$5</definedName>
    <definedName name="_xlnm.Print_Titles" localSheetId="7">单位!$4:$5</definedName>
    <definedName name="_xlnm.Print_Titles" localSheetId="6">行业!$4:$4</definedName>
    <definedName name="_xlnm.Print_Titles" localSheetId="1">基础设施类!$4:$5</definedName>
    <definedName name="_xlnm.Print_Titles" localSheetId="5">竣!$5:$6</definedName>
    <definedName name="_xlnm.Print_Titles" localSheetId="3">开!$4:$5</definedName>
    <definedName name="_xlnm.Print_Titles" localSheetId="8">类别!$4:$5</definedName>
    <definedName name="_xlnm.Print_Titles" localSheetId="2">民生保障类!$4:$5</definedName>
    <definedName name="_xlnm.Print_Titles" localSheetId="4">'续 '!$4:$5</definedName>
    <definedName name="_xlnm.Print_Titles" localSheetId="9">资金!$4:$5</definedName>
    <definedName name="二级区">[1]基本元素!$C$2:$C$81</definedName>
    <definedName name="河段" localSheetId="5">'[2]基础选项（保留）'!$I$2:$I$5</definedName>
    <definedName name="河段" localSheetId="3">'[2]基础选项（保留）'!$I$2:$I$5</definedName>
    <definedName name="河段" localSheetId="4">'[2]基础选项（保留）'!$I$2:$I$5</definedName>
    <definedName name="长江区">[1]基本元素!$C$33:$C$44</definedName>
  </definedNames>
  <calcPr calcId="144525"/>
</workbook>
</file>

<file path=xl/comments1.xml><?xml version="1.0" encoding="utf-8"?>
<comments xmlns="http://schemas.openxmlformats.org/spreadsheetml/2006/main">
  <authors>
    <author>admin</author>
  </authors>
  <commentList>
    <comment ref="Y11" authorId="0">
      <text>
        <r>
          <rPr>
            <sz val="9"/>
            <rFont val="宋体"/>
            <charset val="134"/>
          </rPr>
          <t>admin:
在自治区发改委核准，用地3188亩，已在吹填好2700亩用2600亩。</t>
        </r>
      </text>
    </comment>
    <comment ref="L12" authorId="0">
      <text>
        <r>
          <rPr>
            <sz val="9"/>
            <rFont val="宋体"/>
            <charset val="134"/>
          </rPr>
          <t>admin:
业主向陈武主席汇报年度计划投资5亿元。</t>
        </r>
      </text>
    </comment>
    <comment ref="X12" authorId="0">
      <text>
        <r>
          <rPr>
            <sz val="9"/>
            <rFont val="宋体"/>
            <charset val="134"/>
          </rPr>
          <t>admin:
预计2019年1月底完成可研报告。</t>
        </r>
      </text>
    </comment>
    <comment ref="L13" authorId="0">
      <text>
        <r>
          <rPr>
            <sz val="9"/>
            <rFont val="宋体"/>
            <charset val="134"/>
          </rPr>
          <t>admin:
业主向陈武主席汇报年度计划投资10亿元。</t>
        </r>
      </text>
    </comment>
    <comment ref="H17" authorId="0">
      <text>
        <r>
          <rPr>
            <sz val="9"/>
            <rFont val="宋体"/>
            <charset val="134"/>
          </rPr>
          <t>admin:
5月完成安评，6月完成土地摘牌。</t>
        </r>
      </text>
    </comment>
    <comment ref="L19" authorId="0">
      <text>
        <r>
          <rPr>
            <sz val="9"/>
            <rFont val="宋体"/>
            <charset val="134"/>
          </rPr>
          <t>admin:
军工企业涉密。</t>
        </r>
      </text>
    </comment>
    <comment ref="X38" authorId="0">
      <text>
        <r>
          <rPr>
            <sz val="9"/>
            <rFont val="宋体"/>
            <charset val="134"/>
          </rPr>
          <t>admin:
正在装修标房，今年计划上小批量试产线。</t>
        </r>
      </text>
    </comment>
    <comment ref="L73" authorId="0">
      <text>
        <r>
          <rPr>
            <sz val="9"/>
            <rFont val="宋体"/>
            <charset val="134"/>
          </rPr>
          <t>admin:
业主2019年计划投资4亿元。灵山县报计划投资2.3亿元。</t>
        </r>
      </text>
    </comment>
    <comment ref="G113" authorId="0">
      <text>
        <r>
          <rPr>
            <sz val="9"/>
            <rFont val="宋体"/>
            <charset val="134"/>
          </rPr>
          <t>admin:
业主反馈目前正在由中马负责建设实验室厂房。</t>
        </r>
      </text>
    </comment>
    <comment ref="G116" authorId="0">
      <text>
        <r>
          <rPr>
            <sz val="9"/>
            <rFont val="宋体"/>
            <charset val="134"/>
          </rPr>
          <t>admin:
业主报3000万元</t>
        </r>
      </text>
    </comment>
    <comment ref="L116" authorId="0">
      <text>
        <r>
          <rPr>
            <sz val="9"/>
            <rFont val="宋体"/>
            <charset val="134"/>
          </rPr>
          <t>admin:
原报6900</t>
        </r>
      </text>
    </comment>
    <comment ref="L118" authorId="0">
      <text>
        <r>
          <rPr>
            <sz val="9"/>
            <rFont val="宋体"/>
            <charset val="134"/>
          </rPr>
          <t>admin:
统计库已提前报完投资数。</t>
        </r>
      </text>
    </comment>
    <comment ref="L119" authorId="0">
      <text>
        <r>
          <rPr>
            <sz val="9"/>
            <rFont val="宋体"/>
            <charset val="134"/>
          </rPr>
          <t>admin:
业主积极性不高</t>
        </r>
      </text>
    </comment>
    <comment ref="G132" authorId="0">
      <text>
        <r>
          <rPr>
            <sz val="9"/>
            <rFont val="宋体"/>
            <charset val="134"/>
          </rPr>
          <t>admin:
实际完成1亿元投资。</t>
        </r>
      </text>
    </comment>
    <comment ref="G181" authorId="0">
      <text>
        <r>
          <rPr>
            <sz val="9"/>
            <rFont val="宋体"/>
            <charset val="134"/>
          </rPr>
          <t>admin:
投资库已报完3亿元投资数，已退库。</t>
        </r>
      </text>
    </comment>
    <comment ref="AO181" authorId="0">
      <text>
        <r>
          <rPr>
            <sz val="9"/>
            <rFont val="宋体"/>
            <charset val="134"/>
          </rPr>
          <t>admin:
投资库已报完3亿元投资数，已退库。</t>
        </r>
      </text>
    </comment>
  </commentList>
</comments>
</file>

<file path=xl/comments2.xml><?xml version="1.0" encoding="utf-8"?>
<comments xmlns="http://schemas.openxmlformats.org/spreadsheetml/2006/main">
  <authors>
    <author>admin</author>
    <author>Administrator</author>
  </authors>
  <commentList>
    <comment ref="AL13" authorId="0">
      <text>
        <r>
          <rPr>
            <sz val="9"/>
            <rFont val="宋体"/>
            <charset val="134"/>
          </rPr>
          <t>admin:
全程2019年获得中央车购税79730万元。</t>
        </r>
      </text>
    </comment>
    <comment ref="F28" authorId="0">
      <text>
        <r>
          <rPr>
            <sz val="9"/>
            <rFont val="宋体"/>
            <charset val="134"/>
          </rPr>
          <t>admin:
批复总投资13100万元。</t>
        </r>
      </text>
    </comment>
    <comment ref="G28" authorId="0">
      <text>
        <r>
          <rPr>
            <sz val="9"/>
            <rFont val="宋体"/>
            <charset val="134"/>
          </rPr>
          <t>admin:
土地划拨费用提高造成超出概算，土地费已交5500万元。</t>
        </r>
      </text>
    </comment>
    <comment ref="L29" authorId="0">
      <text>
        <r>
          <rPr>
            <sz val="9"/>
            <rFont val="宋体"/>
            <charset val="134"/>
          </rPr>
          <t>admin:
剩余中央资金671万元未支付。</t>
        </r>
      </text>
    </comment>
    <comment ref="G45" authorId="0">
      <text>
        <r>
          <rPr>
            <sz val="9"/>
            <rFont val="宋体"/>
            <charset val="134"/>
          </rPr>
          <t>admin:
港口管理局25125万元。</t>
        </r>
      </text>
    </comment>
    <comment ref="G47" authorId="0">
      <text>
        <r>
          <rPr>
            <sz val="9"/>
            <rFont val="宋体"/>
            <charset val="134"/>
          </rPr>
          <t>admin:
2018年1-12月累计完成10367万元。</t>
        </r>
      </text>
    </comment>
    <comment ref="G48" authorId="0">
      <text>
        <r>
          <rPr>
            <sz val="9"/>
            <rFont val="宋体"/>
            <charset val="134"/>
          </rPr>
          <t>admin:
2018年1-12月累计完成8070万元。</t>
        </r>
      </text>
    </comment>
    <comment ref="G49" authorId="0">
      <text>
        <r>
          <rPr>
            <sz val="9"/>
            <rFont val="宋体"/>
            <charset val="134"/>
          </rPr>
          <t>admin:
2018年1-12月累计完成1400万元。</t>
        </r>
      </text>
    </comment>
    <comment ref="N54" authorId="0">
      <text>
        <r>
          <rPr>
            <sz val="9"/>
            <rFont val="宋体"/>
            <charset val="134"/>
          </rPr>
          <t>admin:
钦州港东站二、三期货场项目2019年7月份竣工。</t>
        </r>
      </text>
    </comment>
    <comment ref="Z87" authorId="1">
      <text>
        <r>
          <rPr>
            <sz val="9"/>
            <rFont val="宋体"/>
            <charset val="134"/>
          </rPr>
          <t>仅新老丁和油麻角。</t>
        </r>
      </text>
    </comment>
    <comment ref="AI87" authorId="1">
      <text>
        <r>
          <rPr>
            <sz val="9"/>
            <rFont val="宋体"/>
            <charset val="134"/>
          </rPr>
          <t>仅新老丁和油麻角。</t>
        </r>
      </text>
    </comment>
    <comment ref="H88" authorId="0">
      <text>
        <r>
          <rPr>
            <sz val="9"/>
            <rFont val="宋体"/>
            <charset val="134"/>
          </rPr>
          <t>admin:
打通大榄江至沙帽岭段约80米的道路、绿化、照明、交通等工程。</t>
        </r>
      </text>
    </comment>
    <comment ref="D162" authorId="0">
      <text>
        <r>
          <rPr>
            <sz val="9"/>
            <rFont val="宋体"/>
            <charset val="134"/>
          </rPr>
          <t>admin:
PPP项目。</t>
        </r>
      </text>
    </comment>
    <comment ref="D209" authorId="0">
      <text>
        <r>
          <rPr>
            <sz val="9"/>
            <rFont val="宋体"/>
            <charset val="134"/>
          </rPr>
          <t>admin:
年设计输送原油1200万吨</t>
        </r>
      </text>
    </comment>
    <comment ref="L209" authorId="0">
      <text>
        <r>
          <rPr>
            <sz val="9"/>
            <rFont val="宋体"/>
            <charset val="134"/>
          </rPr>
          <t>admin:
重点办测算明年计划完成投资1.5亿元。</t>
        </r>
      </text>
    </comment>
  </commentList>
</comments>
</file>

<file path=xl/comments3.xml><?xml version="1.0" encoding="utf-8"?>
<comments xmlns="http://schemas.openxmlformats.org/spreadsheetml/2006/main">
  <authors>
    <author>admin</author>
  </authors>
  <commentList>
    <comment ref="G55" authorId="0">
      <text>
        <r>
          <rPr>
            <sz val="9"/>
            <rFont val="宋体"/>
            <charset val="134"/>
          </rPr>
          <t>admin:
实际完成投资3000万元，在统计库已超报完成投资8852万元。</t>
        </r>
      </text>
    </comment>
  </commentList>
</comments>
</file>

<file path=xl/comments4.xml><?xml version="1.0" encoding="utf-8"?>
<comments xmlns="http://schemas.openxmlformats.org/spreadsheetml/2006/main">
  <authors>
    <author>admin</author>
  </authors>
  <commentList>
    <comment ref="Y10" authorId="0">
      <text>
        <r>
          <rPr>
            <sz val="9"/>
            <rFont val="宋体"/>
            <charset val="134"/>
          </rPr>
          <t>admin:
在自治区发改委核准，用地3188亩，已在吹填好2700亩用2600亩。</t>
        </r>
      </text>
    </comment>
    <comment ref="L11" authorId="0">
      <text>
        <r>
          <rPr>
            <sz val="9"/>
            <rFont val="宋体"/>
            <charset val="134"/>
          </rPr>
          <t>admin:
业主向陈武主席汇报年度计划投资5亿元。</t>
        </r>
      </text>
    </comment>
    <comment ref="X11" authorId="0">
      <text>
        <r>
          <rPr>
            <sz val="9"/>
            <rFont val="宋体"/>
            <charset val="134"/>
          </rPr>
          <t>admin:
预计2019年1月底完成可研报告。</t>
        </r>
      </text>
    </comment>
    <comment ref="L12" authorId="0">
      <text>
        <r>
          <rPr>
            <sz val="9"/>
            <rFont val="宋体"/>
            <charset val="134"/>
          </rPr>
          <t>admin:
业主向陈武主席汇报年度计划投资10亿元。</t>
        </r>
      </text>
    </comment>
    <comment ref="H16" authorId="0">
      <text>
        <r>
          <rPr>
            <sz val="9"/>
            <rFont val="宋体"/>
            <charset val="134"/>
          </rPr>
          <t>admin:
5月完成安评，6月完成土地摘牌。</t>
        </r>
      </text>
    </comment>
    <comment ref="X37" authorId="0">
      <text>
        <r>
          <rPr>
            <sz val="9"/>
            <rFont val="宋体"/>
            <charset val="134"/>
          </rPr>
          <t>admin:
正在装修标房，今年计划上小批量试产线。</t>
        </r>
      </text>
    </comment>
    <comment ref="L74" authorId="0">
      <text>
        <r>
          <rPr>
            <sz val="9"/>
            <rFont val="宋体"/>
            <charset val="134"/>
          </rPr>
          <t>admin:
业主2019年计划投资4亿元。灵山县报计划投资2.3亿元。</t>
        </r>
      </text>
    </comment>
    <comment ref="X81" authorId="0">
      <text>
        <r>
          <rPr>
            <sz val="9"/>
            <rFont val="宋体"/>
            <charset val="134"/>
          </rPr>
          <t>admin:
海事局施工许可证预计2月底前批复。</t>
        </r>
      </text>
    </comment>
    <comment ref="Y86" authorId="0">
      <text>
        <r>
          <rPr>
            <sz val="9"/>
            <rFont val="宋体"/>
            <charset val="134"/>
          </rPr>
          <t>admin:
未获得立项和用地预审。</t>
        </r>
      </text>
    </comment>
    <comment ref="X132" authorId="0">
      <text>
        <r>
          <rPr>
            <sz val="9"/>
            <rFont val="宋体"/>
            <charset val="134"/>
          </rPr>
          <t>admin:
位于大侗镇南砖厂，旧325国道，服务皇马二期。</t>
        </r>
      </text>
    </comment>
    <comment ref="D155" authorId="0">
      <text>
        <r>
          <rPr>
            <sz val="9"/>
            <rFont val="宋体"/>
            <charset val="134"/>
          </rPr>
          <t>admin:
年设计输送原油1200万吨</t>
        </r>
      </text>
    </comment>
    <comment ref="L155" authorId="0">
      <text>
        <r>
          <rPr>
            <sz val="9"/>
            <rFont val="宋体"/>
            <charset val="134"/>
          </rPr>
          <t>admin:
重点办测算明年计划完成投资1.5亿元。</t>
        </r>
      </text>
    </comment>
  </commentList>
</comments>
</file>

<file path=xl/comments5.xml><?xml version="1.0" encoding="utf-8"?>
<comments xmlns="http://schemas.openxmlformats.org/spreadsheetml/2006/main">
  <authors>
    <author>admin</author>
    <author>Administrator</author>
  </authors>
  <commentList>
    <comment ref="Q11" authorId="0">
      <text>
        <r>
          <rPr>
            <sz val="9"/>
            <rFont val="宋体"/>
            <charset val="134"/>
          </rPr>
          <t>admin:
土地证要在审计局办理，填海审计备案，但审计一直没出备案证。</t>
        </r>
      </text>
    </comment>
    <comment ref="G20" authorId="0">
      <text>
        <r>
          <rPr>
            <sz val="9"/>
            <rFont val="宋体"/>
            <charset val="134"/>
          </rPr>
          <t>admin:
业主反馈目前正在由中马负责建设实验室厂房。</t>
        </r>
      </text>
    </comment>
    <comment ref="G23" authorId="0">
      <text>
        <r>
          <rPr>
            <sz val="9"/>
            <rFont val="宋体"/>
            <charset val="134"/>
          </rPr>
          <t>admin:
业主报3000万元</t>
        </r>
      </text>
    </comment>
    <comment ref="L23" authorId="0">
      <text>
        <r>
          <rPr>
            <sz val="9"/>
            <rFont val="宋体"/>
            <charset val="134"/>
          </rPr>
          <t>admin:
原报6900</t>
        </r>
      </text>
    </comment>
    <comment ref="Q23" authorId="0">
      <text>
        <r>
          <rPr>
            <sz val="9"/>
            <rFont val="宋体"/>
            <charset val="134"/>
          </rPr>
          <t>admin:
融资困难</t>
        </r>
      </text>
    </comment>
    <comment ref="L25" authorId="0">
      <text>
        <r>
          <rPr>
            <sz val="9"/>
            <rFont val="宋体"/>
            <charset val="134"/>
          </rPr>
          <t>admin:
统计库已提前报完投资数。</t>
        </r>
      </text>
    </comment>
    <comment ref="L26" authorId="0">
      <text>
        <r>
          <rPr>
            <sz val="9"/>
            <rFont val="宋体"/>
            <charset val="134"/>
          </rPr>
          <t>admin:
业主积极性不高</t>
        </r>
      </text>
    </comment>
    <comment ref="G31" authorId="0">
      <text>
        <r>
          <rPr>
            <sz val="9"/>
            <rFont val="宋体"/>
            <charset val="134"/>
          </rPr>
          <t>admin:
实际完成1亿元投资。</t>
        </r>
      </text>
    </comment>
    <comment ref="G55" authorId="0">
      <text>
        <r>
          <rPr>
            <sz val="9"/>
            <rFont val="宋体"/>
            <charset val="134"/>
          </rPr>
          <t>admin:
港口管理局25125万元。</t>
        </r>
      </text>
    </comment>
    <comment ref="G57" authorId="0">
      <text>
        <r>
          <rPr>
            <sz val="9"/>
            <rFont val="宋体"/>
            <charset val="134"/>
          </rPr>
          <t>admin:
2018年1-12月累计完成8070万元。</t>
        </r>
      </text>
    </comment>
    <comment ref="H59" authorId="0">
      <text>
        <r>
          <rPr>
            <sz val="9"/>
            <rFont val="宋体"/>
            <charset val="134"/>
          </rPr>
          <t>admin:
钦州港东站二、三期货场项目2019年7月份竣工。</t>
        </r>
      </text>
    </comment>
    <comment ref="Q59" authorId="0">
      <text>
        <r>
          <rPr>
            <sz val="9"/>
            <rFont val="宋体"/>
            <charset val="134"/>
          </rPr>
          <t>admin:
一期工程有130亩用海指标未解决，二期工程有5645亩（其中集装箱办理站用地2500亩，配套用地3145亩）用海指标未解决。</t>
        </r>
      </text>
    </comment>
    <comment ref="F85" authorId="0">
      <text>
        <r>
          <rPr>
            <sz val="9"/>
            <rFont val="宋体"/>
            <charset val="134"/>
          </rPr>
          <t>admin:
批复总投资13100万元。</t>
        </r>
      </text>
    </comment>
    <comment ref="G85" authorId="0">
      <text>
        <r>
          <rPr>
            <sz val="9"/>
            <rFont val="宋体"/>
            <charset val="134"/>
          </rPr>
          <t>admin:
土地划拨费用提高造成超出概算，土地费已交5500万元。</t>
        </r>
      </text>
    </comment>
    <comment ref="L86" authorId="0">
      <text>
        <r>
          <rPr>
            <sz val="9"/>
            <rFont val="宋体"/>
            <charset val="134"/>
          </rPr>
          <t>admin:
剩余中央资金671万元未支付。</t>
        </r>
      </text>
    </comment>
    <comment ref="Q99" authorId="0">
      <text>
        <r>
          <rPr>
            <sz val="9"/>
            <rFont val="宋体"/>
            <charset val="134"/>
          </rPr>
          <t>admin:
中央资金1200万元。</t>
        </r>
      </text>
    </comment>
    <comment ref="R105" authorId="1">
      <text>
        <r>
          <rPr>
            <sz val="9"/>
            <rFont val="宋体"/>
            <charset val="134"/>
          </rPr>
          <t>仅新老丁和油麻角。</t>
        </r>
      </text>
    </comment>
    <comment ref="AA105" authorId="1">
      <text>
        <r>
          <rPr>
            <sz val="9"/>
            <rFont val="宋体"/>
            <charset val="134"/>
          </rPr>
          <t>仅新老丁和油麻角。</t>
        </r>
      </text>
    </comment>
    <comment ref="G196" authorId="0">
      <text>
        <r>
          <rPr>
            <sz val="9"/>
            <rFont val="宋体"/>
            <charset val="134"/>
          </rPr>
          <t>admin:
实际完成投资3000万元，在统计库已超报完成投资8852万元。</t>
        </r>
      </text>
    </comment>
  </commentList>
</comments>
</file>

<file path=xl/comments6.xml><?xml version="1.0" encoding="utf-8"?>
<comments xmlns="http://schemas.openxmlformats.org/spreadsheetml/2006/main">
  <authors>
    <author>admin</author>
  </authors>
  <commentList>
    <comment ref="G22" authorId="0">
      <text>
        <r>
          <rPr>
            <sz val="9"/>
            <rFont val="宋体"/>
            <charset val="134"/>
          </rPr>
          <t>admin:
投资库已报完3亿元投资数，已退库。</t>
        </r>
      </text>
    </comment>
    <comment ref="G50" authorId="0">
      <text>
        <r>
          <rPr>
            <sz val="9"/>
            <rFont val="宋体"/>
            <charset val="134"/>
          </rPr>
          <t>admin:
2018年1-12月累计完成10367万元。</t>
        </r>
      </text>
    </comment>
    <comment ref="G51" authorId="0">
      <text>
        <r>
          <rPr>
            <sz val="9"/>
            <rFont val="宋体"/>
            <charset val="134"/>
          </rPr>
          <t>admin:
2018年1-12月累计完成1400万元。</t>
        </r>
      </text>
    </comment>
    <comment ref="H68" authorId="0">
      <text>
        <r>
          <rPr>
            <sz val="9"/>
            <rFont val="宋体"/>
            <charset val="134"/>
          </rPr>
          <t>admin:
打通大榄江至沙帽岭段约80米的道路、绿化、照明、交通等工程。</t>
        </r>
      </text>
    </comment>
    <comment ref="P74" authorId="0">
      <text>
        <r>
          <rPr>
            <sz val="9"/>
            <rFont val="宋体"/>
            <charset val="134"/>
          </rPr>
          <t>admin:
1.高沙到公园线路已投场送电；                   2.广场到公园线路因市政建设未完成不具备开工条件。</t>
        </r>
      </text>
    </comment>
    <comment ref="Q74" authorId="0">
      <text>
        <r>
          <rPr>
            <sz val="9"/>
            <rFont val="宋体"/>
            <charset val="134"/>
          </rPr>
          <t>admin:
广场到公园线路因市政建设未完成，暂且不具备开工条件。</t>
        </r>
      </text>
    </comment>
    <comment ref="D87" authorId="0">
      <text>
        <r>
          <rPr>
            <sz val="9"/>
            <rFont val="宋体"/>
            <charset val="134"/>
          </rPr>
          <t>admin:
PPP项目。</t>
        </r>
      </text>
    </comment>
  </commentList>
</comments>
</file>

<file path=xl/comments7.xml><?xml version="1.0" encoding="utf-8"?>
<comments xmlns="http://schemas.openxmlformats.org/spreadsheetml/2006/main">
  <authors>
    <author>admin</author>
  </authors>
  <commentList>
    <comment ref="L35" authorId="0">
      <text>
        <r>
          <rPr>
            <sz val="9"/>
            <rFont val="宋体"/>
            <charset val="134"/>
          </rPr>
          <t>admin:
土地未落实，等社会科请示李副后定</t>
        </r>
      </text>
    </comment>
    <comment ref="H51" authorId="0">
      <text>
        <r>
          <rPr>
            <sz val="9"/>
            <rFont val="宋体"/>
            <charset val="134"/>
          </rPr>
          <t>admin:
目前实际未开工，已提前报完投资数。</t>
        </r>
      </text>
    </comment>
    <comment ref="K59" authorId="0">
      <text>
        <r>
          <rPr>
            <sz val="9"/>
            <rFont val="宋体"/>
            <charset val="134"/>
          </rPr>
          <t>admin:
项目一期规划用地约600亩，建成年产6万台生产能力。目前正商谈补充协议，协商补充相关优惠政策条款事宜。</t>
        </r>
      </text>
    </comment>
    <comment ref="K61" authorId="0">
      <text>
        <r>
          <rPr>
            <sz val="9"/>
            <rFont val="宋体"/>
            <charset val="134"/>
          </rPr>
          <t>admin:
概念性规划未完成</t>
        </r>
      </text>
    </comment>
    <comment ref="L68" authorId="0">
      <text>
        <r>
          <rPr>
            <sz val="9"/>
            <rFont val="宋体"/>
            <charset val="134"/>
          </rPr>
          <t>admin:
业主投资意向不强。</t>
        </r>
      </text>
    </comment>
    <comment ref="G82" authorId="0">
      <text>
        <r>
          <rPr>
            <sz val="9"/>
            <rFont val="宋体"/>
            <charset val="134"/>
          </rPr>
          <t>admin:
超报投资数。</t>
        </r>
      </text>
    </comment>
    <comment ref="D108" authorId="0">
      <text>
        <r>
          <rPr>
            <sz val="9"/>
            <rFont val="宋体"/>
            <charset val="134"/>
          </rPr>
          <t>admin:
目前实际只落户一家物流企业项目，未能拆分。</t>
        </r>
      </text>
    </comment>
  </commentList>
</comments>
</file>

<file path=xl/sharedStrings.xml><?xml version="1.0" encoding="utf-8"?>
<sst xmlns="http://schemas.openxmlformats.org/spreadsheetml/2006/main" count="14510" uniqueCount="3441">
  <si>
    <r>
      <rPr>
        <sz val="24"/>
        <rFont val="方正黑体_GBK"/>
        <charset val="134"/>
      </rPr>
      <t>附件</t>
    </r>
    <r>
      <rPr>
        <sz val="24"/>
        <rFont val="Times New Roman"/>
        <charset val="134"/>
      </rPr>
      <t>1</t>
    </r>
  </si>
  <si>
    <t>钦州市2019年总投资1000万元以上重点建设项目责任表（产业类项目）</t>
  </si>
  <si>
    <t>此列需更新</t>
  </si>
  <si>
    <t>单位：万元</t>
  </si>
  <si>
    <t>隐藏</t>
  </si>
  <si>
    <r>
      <rPr>
        <sz val="11"/>
        <rFont val="方正黑体_GBK"/>
        <charset val="134"/>
      </rPr>
      <t>序号</t>
    </r>
  </si>
  <si>
    <r>
      <rPr>
        <sz val="11"/>
        <rFont val="方正黑体_GBK"/>
        <charset val="134"/>
      </rPr>
      <t>项目名称</t>
    </r>
  </si>
  <si>
    <r>
      <rPr>
        <sz val="11"/>
        <rFont val="方正黑体_GBK"/>
        <charset val="134"/>
      </rPr>
      <t>建设性质</t>
    </r>
  </si>
  <si>
    <r>
      <rPr>
        <sz val="11"/>
        <rFont val="方正黑体_GBK"/>
        <charset val="134"/>
      </rPr>
      <t>主要建设内容及规模</t>
    </r>
  </si>
  <si>
    <r>
      <rPr>
        <sz val="11"/>
        <rFont val="方正黑体_GBK"/>
        <charset val="134"/>
      </rPr>
      <t>建设起止年限</t>
    </r>
  </si>
  <si>
    <r>
      <rPr>
        <sz val="11"/>
        <rFont val="方正黑体_GBK"/>
        <charset val="134"/>
      </rPr>
      <t>总投资</t>
    </r>
  </si>
  <si>
    <r>
      <rPr>
        <sz val="11"/>
        <rFont val="方正黑体_GBK"/>
        <charset val="134"/>
      </rPr>
      <t>到</t>
    </r>
    <r>
      <rPr>
        <sz val="11"/>
        <rFont val="Times New Roman"/>
        <charset val="134"/>
      </rPr>
      <t>2018</t>
    </r>
    <r>
      <rPr>
        <sz val="11"/>
        <rFont val="方正黑体_GBK"/>
        <charset val="134"/>
      </rPr>
      <t>年底
累计完成
投资</t>
    </r>
  </si>
  <si>
    <r>
      <rPr>
        <sz val="11"/>
        <rFont val="Times New Roman"/>
        <charset val="134"/>
      </rPr>
      <t>2019</t>
    </r>
    <r>
      <rPr>
        <sz val="11"/>
        <rFont val="方正黑体_GBK"/>
        <charset val="134"/>
      </rPr>
      <t>年重点建设任务</t>
    </r>
  </si>
  <si>
    <t>1-10月完成情况</t>
  </si>
  <si>
    <t>项目前期工作</t>
  </si>
  <si>
    <t>项目前期工作进展情况</t>
  </si>
  <si>
    <t>存在主要问题</t>
  </si>
  <si>
    <t>项目用地情况（亩）</t>
  </si>
  <si>
    <t>项目用林情况（亩）</t>
  </si>
  <si>
    <t>项目用海情况（亩）</t>
  </si>
  <si>
    <t>项目征拆情况（亩）</t>
  </si>
  <si>
    <t>项目筹资情况（万元）</t>
  </si>
  <si>
    <t>用地（用海用林）指标缺口（亩）</t>
  </si>
  <si>
    <t>需要协调解决的主要问题</t>
  </si>
  <si>
    <r>
      <rPr>
        <sz val="11"/>
        <rFont val="方正黑体_GBK"/>
        <charset val="134"/>
      </rPr>
      <t>项目业主或前期工作责任单位</t>
    </r>
  </si>
  <si>
    <r>
      <rPr>
        <sz val="11"/>
        <rFont val="方正黑体_GBK"/>
        <charset val="134"/>
      </rPr>
      <t>责任单位</t>
    </r>
  </si>
  <si>
    <t>备注</t>
  </si>
  <si>
    <t>责任科室</t>
  </si>
  <si>
    <t>行业细分
二级目录（用于行业统计表）</t>
  </si>
  <si>
    <t>行业分类</t>
  </si>
  <si>
    <t>行业分类合并</t>
  </si>
  <si>
    <t>行业统计台账</t>
  </si>
  <si>
    <t>是否入统</t>
  </si>
  <si>
    <t>入统单位</t>
  </si>
  <si>
    <t>入统名称</t>
  </si>
  <si>
    <t>统计部门格式</t>
  </si>
  <si>
    <t>原来项目名称
（用于表格间关联）</t>
  </si>
  <si>
    <t>开工月份</t>
  </si>
  <si>
    <t>政府、企业投资（高速路、铁路、供电算企业）</t>
  </si>
  <si>
    <t>产业、基础设施、民生设施</t>
  </si>
  <si>
    <t>企业、政府+责任单位</t>
  </si>
  <si>
    <t>产业+责任单位</t>
  </si>
  <si>
    <t>是否开工</t>
  </si>
  <si>
    <r>
      <rPr>
        <sz val="11"/>
        <rFont val="方正黑体_GBK"/>
        <charset val="134"/>
      </rPr>
      <t>计划开工（竣工）时间</t>
    </r>
  </si>
  <si>
    <r>
      <rPr>
        <sz val="11"/>
        <rFont val="方正黑体_GBK"/>
        <charset val="134"/>
      </rPr>
      <t>一季度计划投资</t>
    </r>
  </si>
  <si>
    <r>
      <rPr>
        <sz val="11"/>
        <rFont val="方正黑体_GBK"/>
        <charset val="134"/>
      </rPr>
      <t>上半年计划投资</t>
    </r>
  </si>
  <si>
    <r>
      <rPr>
        <sz val="11"/>
        <rFont val="方正黑体_GBK"/>
        <charset val="134"/>
      </rPr>
      <t>前三季度计划投资</t>
    </r>
  </si>
  <si>
    <r>
      <rPr>
        <sz val="11"/>
        <rFont val="方正黑体_GBK"/>
        <charset val="134"/>
      </rPr>
      <t>年度计划投资</t>
    </r>
  </si>
  <si>
    <r>
      <rPr>
        <sz val="11"/>
        <rFont val="方正黑体_GBK"/>
        <charset val="134"/>
      </rPr>
      <t>本年计划产值</t>
    </r>
  </si>
  <si>
    <r>
      <rPr>
        <sz val="11"/>
        <rFont val="方正黑体_GBK"/>
        <charset val="134"/>
      </rPr>
      <t>年度建设目标</t>
    </r>
  </si>
  <si>
    <t>实际开工月份</t>
  </si>
  <si>
    <t>年度完成投资</t>
  </si>
  <si>
    <t>立项</t>
  </si>
  <si>
    <t>选址</t>
  </si>
  <si>
    <t>用地预审</t>
  </si>
  <si>
    <t>环评</t>
  </si>
  <si>
    <t>可研批复</t>
  </si>
  <si>
    <t>初步设计</t>
  </si>
  <si>
    <t>施工图设计</t>
  </si>
  <si>
    <t>实际用地需求</t>
  </si>
  <si>
    <t>已落实用地</t>
  </si>
  <si>
    <t>缺口</t>
  </si>
  <si>
    <t>实际用林需求</t>
  </si>
  <si>
    <t>已落实用林</t>
  </si>
  <si>
    <t>实际用海需求</t>
  </si>
  <si>
    <t>已落实用海</t>
  </si>
  <si>
    <t>涉及征拆</t>
  </si>
  <si>
    <t>已解决</t>
  </si>
  <si>
    <t>未解决</t>
  </si>
  <si>
    <t>已落实中央预算内资金</t>
  </si>
  <si>
    <t>已落实自治区资金</t>
  </si>
  <si>
    <t>已落实市县区资金</t>
  </si>
  <si>
    <t>已落实企业自筹资金</t>
  </si>
  <si>
    <t>缺口资金</t>
  </si>
  <si>
    <t>统计部门-新建、续建、竣工</t>
  </si>
  <si>
    <t>统计部门-开工-竣工</t>
  </si>
  <si>
    <t>一</t>
  </si>
  <si>
    <t>（一）</t>
  </si>
  <si>
    <t>桐昆钦州芳烃项目一期</t>
  </si>
  <si>
    <t>新建</t>
  </si>
  <si>
    <t>建设年产280万吨PX装置及相关配套设施。</t>
  </si>
  <si>
    <t>2019-2021</t>
  </si>
  <si>
    <t>10月</t>
  </si>
  <si>
    <t>一期项目完成核准、环评等前期工作，实现开工建设。</t>
  </si>
  <si>
    <t>完成项目选址，正在编制项目可研报告，已完成公司注册。</t>
  </si>
  <si>
    <t>需向国家申请将储备项目转为规划项目。</t>
  </si>
  <si>
    <t>1.申请调整由自治区核准项目规划；
2.解决建设30万立/时煤制氢及相关燃煤热电机组的审批问题。
3.解决项目能耗约250万吨标煤问题；
4.原料油及煤炭装卸码头未开展前期工作；
5.三墩污水排放口未处于广西壮族自治区近岸海域环境功能区划划分的排污区；
6.海域吹填及道路配套设施完善问题。</t>
  </si>
  <si>
    <t>广西桐昆石化有限公司</t>
  </si>
  <si>
    <t>市石化产业发展局、钦州港区管委</t>
  </si>
  <si>
    <t>2019年计划完成地勘和强夯，防浪堤建设，开工建设办公楼，工艺包和设计、长周期设备采购。</t>
  </si>
  <si>
    <t>钦州港</t>
  </si>
  <si>
    <t>工业</t>
  </si>
  <si>
    <t>企业</t>
  </si>
  <si>
    <t>产业</t>
  </si>
  <si>
    <t>华谊二期75万吨丙烯及下游深加工一体化项目</t>
  </si>
  <si>
    <t>建设75万吨/年丙烷脱氢制丙烯（PDH）、30万吨/年丁醇、40万吨/年丙烯酸及酯、8万吨/年甲基丙烯酸甲酯（MMA）、18万吨/年苯酚丙酮、18万吨/年双酚A、20万吨/年聚碳酸酯装置及相关配套设施。</t>
  </si>
  <si>
    <t>完成项目可研、环评、节能等前期工作，协商签订投资协议和配套公用工程等服务合同，完成项目设计及报建手续，实现开工建设。</t>
  </si>
  <si>
    <t>正在进行可行性研究，已完成公司注册。</t>
  </si>
  <si>
    <t>码头选址及岸线申请，码头进度滞后，征地搬迁，海域吹填土地换证，及码头后方陆域土地问题。</t>
  </si>
  <si>
    <t>1.华谊明确提出19号泊位作为轻烃公用泊位用于保障丙烷和乙烯原料的装卸，但该码头已初步选址给广西投资集团；
2.完成广明闲置土地收回；
3.解决大公墩周边100多亩用海手续问题；
4.统筹解决能耗约80万吨标煤问题。</t>
  </si>
  <si>
    <t>广西华谊新材料有限公司、
上海华谊（集团）公司（前期工作）</t>
  </si>
  <si>
    <t>华谊二期氯碱项目</t>
  </si>
  <si>
    <t>一期建设30万吨烧碱、40万吨聚氯乙烯装置。二期建设20万吨烧碱、20万吨聚氯乙烯装置。</t>
  </si>
  <si>
    <r>
      <rPr>
        <sz val="11"/>
        <rFont val="宋体"/>
        <charset val="134"/>
      </rPr>
      <t>1</t>
    </r>
    <r>
      <rPr>
        <sz val="11"/>
        <rFont val="宋体"/>
        <charset val="134"/>
      </rPr>
      <t>0</t>
    </r>
    <r>
      <rPr>
        <sz val="11"/>
        <rFont val="宋体"/>
        <charset val="134"/>
      </rPr>
      <t>月</t>
    </r>
  </si>
  <si>
    <t>完成前期工作和绿洲化工的股权收购，签订投资协议，上报自治区“两高”联席会议审查，实现开工建设。</t>
  </si>
  <si>
    <t>完成项目可研编制，正在开展环评、节能、稳评等前期工作。</t>
  </si>
  <si>
    <t>一是需通过自治区两高会评审，二是需明确项目的配套液化烃码头。</t>
  </si>
  <si>
    <t>1.华谊明确提出19号泊位作为轻烃公用泊位用于保障丙烷和乙烯原料的装卸，但该码头已初步选址给广西投资集团；
2.通过自治区“两高”联席会议审查；
3.解决项目能耗约40万吨标煤问题；
4.部分用地（海域）盘整问题。</t>
  </si>
  <si>
    <t>上海氯碱化工股份有限公司</t>
  </si>
  <si>
    <t>业主计划2019年9月办完用地手续，11月完成项目基础设计批复，12月前完成地勘和强夯，争取2019年年底前土建开工。</t>
  </si>
  <si>
    <t>华谊能化配套空分项目</t>
  </si>
  <si>
    <r>
      <rPr>
        <sz val="11"/>
        <rFont val="宋体"/>
        <charset val="134"/>
      </rPr>
      <t>新建三套78000NM</t>
    </r>
    <r>
      <rPr>
        <vertAlign val="superscript"/>
        <sz val="11"/>
        <rFont val="宋体"/>
        <charset val="134"/>
      </rPr>
      <t>3</t>
    </r>
    <r>
      <rPr>
        <sz val="11"/>
        <rFont val="宋体"/>
        <charset val="134"/>
      </rPr>
      <t>/H空分装置及相关后备系统，生产能力为制氧量234000NM</t>
    </r>
    <r>
      <rPr>
        <vertAlign val="superscript"/>
        <sz val="11"/>
        <rFont val="宋体"/>
        <charset val="134"/>
      </rPr>
      <t>3</t>
    </r>
    <r>
      <rPr>
        <sz val="11"/>
        <rFont val="宋体"/>
        <charset val="134"/>
      </rPr>
      <t>/H。</t>
    </r>
  </si>
  <si>
    <t>2019-2020</t>
  </si>
  <si>
    <t>9月</t>
  </si>
  <si>
    <t>完成桩基础，开工建设土建工程。</t>
  </si>
  <si>
    <t>√</t>
  </si>
  <si>
    <t>已签订投资协议，已办理初步选址、规划设计要点。</t>
  </si>
  <si>
    <t>无</t>
  </si>
  <si>
    <t>普莱克斯(广西)气体有限公司</t>
  </si>
  <si>
    <t>钦州港区管委</t>
  </si>
  <si>
    <t>华谊工业气体岛工程污水外包项目</t>
  </si>
  <si>
    <t>污水处理能力1.32万吨/天，清净下水处理能力2.78万吨/天。</t>
  </si>
  <si>
    <t>6月</t>
  </si>
  <si>
    <t>开工建设，完成土建工程。</t>
  </si>
  <si>
    <t>已完成可研报告编制，正在编制环评报告。已完成工商注册。</t>
  </si>
  <si>
    <t>环评批复及排海口确认问题，以租赁土地办理施工许可证问题。</t>
  </si>
  <si>
    <t>1.深海排放问题；
2.环评批复问题；
3.租赁土地办理施工许可证问题。</t>
  </si>
  <si>
    <t>广西天宜环境科技有限公司</t>
  </si>
  <si>
    <t>处理广西华谊能源化工有限公司工业气体岛项目生产装置产生的废水。</t>
  </si>
  <si>
    <t>钦州港天恒石化年产15万吨过氧化氢项目</t>
  </si>
  <si>
    <t>建设年产15万吨过氧化氢(27.5％)生产装置。</t>
  </si>
  <si>
    <t>12月</t>
  </si>
  <si>
    <t>正在开展前期工作。</t>
  </si>
  <si>
    <t>建设资金不足。</t>
  </si>
  <si>
    <t>钦州天恒石化有限公司</t>
  </si>
  <si>
    <t>天恒合作方明确退出，天恒是否独自继续推进尚未明确，协议未签，是否删除？</t>
  </si>
  <si>
    <t>钦州港大地油脂2万吨脂肪酸和1万吨柴油抗磨剂项目</t>
  </si>
  <si>
    <t>年产油酸20000吨、硬脂酸3000吨、植物沥青5100吨。</t>
  </si>
  <si>
    <t>正在开展前期洽谈。已完成工商注册。</t>
  </si>
  <si>
    <t>安评批复问题。</t>
  </si>
  <si>
    <t>广西湘益油脂有限公司</t>
  </si>
  <si>
    <t>金桂二期年产180万吨高档纸板扩建项目及配套工程</t>
  </si>
  <si>
    <t>建设年产90万吨普通白卡纸生产线、90万吨食品级白卡纸生产线，配套建设30万吨过氧化氢装置、年产75万吨化机浆项目、动力车间等相关设施。</t>
  </si>
  <si>
    <t>2019-2022</t>
  </si>
  <si>
    <t>5月</t>
  </si>
  <si>
    <t>签订投资协议，完成用地、报建等前期手续，实现开工建设。</t>
  </si>
  <si>
    <t>已签订框架投资协议，已办理备案、环评、安评、水保等手续，用地预审已完成。</t>
  </si>
  <si>
    <t>尚未签订投资协议，需解决厂区西面四户住户征拆问题。</t>
  </si>
  <si>
    <t>1.尚未签订投资协议；
2.厂区西面4户住户征拆问题。</t>
  </si>
  <si>
    <t>广西金桂浆纸业有限公司</t>
  </si>
  <si>
    <t>2018年办理用地预审约1230亩（含自有村里405亩），均未办理土地证。2019年计划上一台纸机，计划用地209亩。</t>
  </si>
  <si>
    <t>中船钦州基地一期工程第二阶段项目</t>
  </si>
  <si>
    <t>建设船体联合车间、驳岸码头、分段装焊车间等，形成2万吨造船和3万吨风电塔生产能力。</t>
  </si>
  <si>
    <t>建设5#码头、浮船坞支墩、露天船台、室内船台车间、船体联合车间、分段预舾装场、公用设施及环保设施等。</t>
  </si>
  <si>
    <t>完成规划建设方案编制，正在编制项目建议书。</t>
  </si>
  <si>
    <t>总部尚未批准方案，项目资金存在缺口。</t>
  </si>
  <si>
    <t>总部尚未批准方案。</t>
  </si>
  <si>
    <t>中船广西船舶及海洋工程有限公司</t>
  </si>
  <si>
    <t>钦州港固体废物综合处置工程项目</t>
  </si>
  <si>
    <t>建设年处理3万吨固体废物处置装置。</t>
  </si>
  <si>
    <t>完成打桩基础，开工建设土建工程。</t>
  </si>
  <si>
    <t>苏伊士环保科技（钦州）有限公司</t>
  </si>
  <si>
    <t>钦州保税港区汽车检测实验室</t>
  </si>
  <si>
    <t>建筑面积3490平方米，建设整车实验室、排放实验室以及相关配套设施，购置和安装实验及检测设备。</t>
  </si>
  <si>
    <t>完成实验室主体建设。</t>
  </si>
  <si>
    <t>广西博时国际汽车城有限公司</t>
  </si>
  <si>
    <t>钦州保税港区管委</t>
  </si>
  <si>
    <t>保税港</t>
  </si>
  <si>
    <t>钦州保税港区棉纺产业园钦保标准厂房二期项目</t>
  </si>
  <si>
    <t>总建筑面积3万平方米，建设标准厂房及相关配套设施。</t>
  </si>
  <si>
    <t>完成基础施工及部分主体建设。</t>
  </si>
  <si>
    <t>请求协助向自治区发改委申请服务业补助资金2000万元。</t>
  </si>
  <si>
    <t>广西钦保投资集团有限责任公司</t>
  </si>
  <si>
    <t>胡祥林15296507306</t>
  </si>
  <si>
    <t>资金缺口大，协助企业申请专项债券。</t>
  </si>
  <si>
    <t>钦州保税港区智能托盘钦州市项目（一期）</t>
  </si>
  <si>
    <t>建设智能托盘生产线。</t>
  </si>
  <si>
    <t>4月</t>
  </si>
  <si>
    <t>完成主体建设。</t>
  </si>
  <si>
    <t>中马钦州产业园区超薄玻璃基板深加工项目</t>
  </si>
  <si>
    <t>年产超薄玻璃基板180万片，建设7.5代膜晶体管液晶显示生产线、35万平方米厂房及相关配套设施。</t>
  </si>
  <si>
    <t>完成部分厂房及部分动力工程建设。</t>
  </si>
  <si>
    <t>已注册项目公司，正在准备项目备案，开展进场施工准备。</t>
  </si>
  <si>
    <t>厂房代建问题。</t>
  </si>
  <si>
    <t>广西泰嘉光电科技有限公司</t>
  </si>
  <si>
    <t>中马钦州产业园区管委</t>
  </si>
  <si>
    <t>中马园</t>
  </si>
  <si>
    <t>中马钦州产业园区年产15万套新能源物流汽车零部件暨全产业生态协同项目</t>
  </si>
  <si>
    <t>分两期建设，一期建设恒源新能源物流车5万辆和特种车2.5万辆零部件生产线、神龙倬粤年产160万块水平电池生产线。</t>
  </si>
  <si>
    <t>建成部分厂房、办公楼主体及周边管路。</t>
  </si>
  <si>
    <t>已完成项目公司注册、项目备案、规划设计工作。</t>
  </si>
  <si>
    <t>资金筹措问题。</t>
  </si>
  <si>
    <t>广西中盟东方投资有限公司</t>
  </si>
  <si>
    <t>中马钦州产业园区鑫德利光电科技研发与生产基地项目（二期）</t>
  </si>
  <si>
    <t>建设1400台3D热弯玻璃生产设备。</t>
  </si>
  <si>
    <t>3月</t>
  </si>
  <si>
    <t>建成部分厂房、办公楼主体及厂区管路。</t>
  </si>
  <si>
    <t>完成前期手续，正在进行围墙施工。</t>
  </si>
  <si>
    <t>广西鑫德利科技股份有限公司</t>
  </si>
  <si>
    <t>中国—东盟医药创新与产业化基地（一期）</t>
  </si>
  <si>
    <t>总建筑面积27万平方米，建设研发楼、生产车间、仓库以及附属用房。</t>
  </si>
  <si>
    <t>已完成项目备案，正准备做施工图。</t>
  </si>
  <si>
    <t>资金未落实。</t>
  </si>
  <si>
    <t>资金尚未落实。</t>
  </si>
  <si>
    <t>广西天昊生物科技有限公司</t>
  </si>
  <si>
    <t>政府</t>
  </si>
  <si>
    <t>中马国际健康食品产业园项目</t>
  </si>
  <si>
    <t>总建筑面积29万平方米，建设标准厂房、研发办公中心、孵化研发中心、实验研发中心以及附属用房。</t>
  </si>
  <si>
    <t>2019-2023</t>
  </si>
  <si>
    <t>8月</t>
  </si>
  <si>
    <r>
      <rPr>
        <sz val="11"/>
        <rFont val="宋体"/>
        <charset val="134"/>
      </rPr>
      <t>完成3</t>
    </r>
    <r>
      <rPr>
        <sz val="11"/>
        <rFont val="宋体"/>
        <charset val="134"/>
      </rPr>
      <t>栋厂房每栋2层建设。</t>
    </r>
  </si>
  <si>
    <t>广西孔雀湾投资开发有限公司</t>
  </si>
  <si>
    <t>中马钦州产业园区新能源汽车集成电路充电桩项目（二期）</t>
  </si>
  <si>
    <t>总建筑面积12.3万平方米，建设年产200万套新能源汽车集成电路充电桩生产线、研发中心及相关配套设施。</t>
  </si>
  <si>
    <t>完成前期手续，土地已经平整。</t>
  </si>
  <si>
    <t>广西科艺绿色能源股份有限公司</t>
  </si>
  <si>
    <t>中马钦州产业园区智能投影传媒中心及其配套项目</t>
  </si>
  <si>
    <t>建设云计算中心及随身听、智能音箱、投影手机等智能硬件终端。</t>
  </si>
  <si>
    <t>完成厂房装修，购进设备。</t>
  </si>
  <si>
    <t>已签订投资协议，正在准备前期工作。</t>
  </si>
  <si>
    <t>人员招聘难，交通不便。</t>
  </si>
  <si>
    <t>广西卓硕电子股份有限公司</t>
  </si>
  <si>
    <t>中马钦州产业园区年产5万吨食品级药品级钙镁盐项目</t>
  </si>
  <si>
    <t>一期3万吨钙盐车间，二期1万吨镁盐车间、三期复配车间。</t>
  </si>
  <si>
    <t>已签订投资协议，正在开展前期工作。</t>
  </si>
  <si>
    <t>广西云波健康科技有限公司</t>
  </si>
  <si>
    <t>中马钦州产业园区智能视觉产品研发生产基地项目</t>
  </si>
  <si>
    <t>建设年产200万台车载高清视觉终端产品生产线及相关配套设备。</t>
  </si>
  <si>
    <t>完成厂房装修及部分设备安装。</t>
  </si>
  <si>
    <t>华夏芯（北京）通用处理器技术有限公司</t>
  </si>
  <si>
    <t>中马钦州产业园区彩色包装印刷生产项目</t>
  </si>
  <si>
    <t>建设纸礼品盒、环保包装制品、包装材料等生产线。</t>
  </si>
  <si>
    <t>正在洽谈。</t>
  </si>
  <si>
    <t>深圳市日迅彩印股份有限公司</t>
  </si>
  <si>
    <t>合丰泰总部及东莞项目搬迁工程</t>
  </si>
  <si>
    <t>合丰泰集团总部搬迁、东莞项目整体搬迁及新建研发中心。</t>
  </si>
  <si>
    <t>完成两条生产线建设。</t>
  </si>
  <si>
    <t>初步拟定合作协议。</t>
  </si>
  <si>
    <t>落实7000万直投资金。</t>
  </si>
  <si>
    <t>深圳市合丰泰科技有限公司</t>
  </si>
  <si>
    <t>钦州高新区管委</t>
  </si>
  <si>
    <t>高新区</t>
  </si>
  <si>
    <t>高新区绿传新能源汽车传动系统项目</t>
  </si>
  <si>
    <t>建设年产30万台套新能源传动系统生产研发基地。</t>
  </si>
  <si>
    <t>1月</t>
  </si>
  <si>
    <t>完成研发中心的建设并投用,启用产品B样机。</t>
  </si>
  <si>
    <t>正在开展研发中心设备及配套采购等工作。</t>
  </si>
  <si>
    <t>1.二期基地建设合同签订；
2.选址问题。</t>
  </si>
  <si>
    <t>钦州绿传科技有限公司</t>
  </si>
  <si>
    <t>绿传二期项目选址未定，根据投资协议暂定105亩用地需求。</t>
  </si>
  <si>
    <t>高新区金页制药项目</t>
  </si>
  <si>
    <t>建设12套中药前处理和提取生产系统，年处理5万吨中药材生产线。</t>
  </si>
  <si>
    <t>完成中药提取车间及污水处理站建设。</t>
  </si>
  <si>
    <t>土地摘牌手续已完成，正在进行总评设计。</t>
  </si>
  <si>
    <t>资金缺口1000万元，请求给予技改资金支持。</t>
  </si>
  <si>
    <t>广西金页制药有限公司</t>
  </si>
  <si>
    <t>高新区道地药材关联产品研发生产基地项目</t>
  </si>
  <si>
    <t>建设年产保健食品、中药饮片产品3000吨，中药提取物生产能力1000吨加工生产线。</t>
  </si>
  <si>
    <t>完成项目生产、仓储、办公主体厂房建设。</t>
  </si>
  <si>
    <t>广西一品堂药业有限公司</t>
  </si>
  <si>
    <t>灵山动漫玩具产业城项目</t>
  </si>
  <si>
    <t>总建筑面积170万平方米，建设中国玩具电商中心、中国南方玩具产业展示交易中心及配套设施。一期建设玩具智造、小型企业总部、原材料交易、玩具成品交易中心等；二期建设玩具科创园、仓储物流等；三期建设小镇公共服务中心等公共配套设施。</t>
  </si>
  <si>
    <t>2019-2024</t>
  </si>
  <si>
    <t>7月</t>
  </si>
  <si>
    <t>建设厂房及交易中心。</t>
  </si>
  <si>
    <t>已完成项目备案。</t>
  </si>
  <si>
    <t>需征收土地600亩。</t>
  </si>
  <si>
    <t>1.加快征搬；
2.落实用地指标。</t>
  </si>
  <si>
    <t>广西灵山中铭投资有限公司</t>
  </si>
  <si>
    <t>灵山县人民政府</t>
  </si>
  <si>
    <t>灵山县</t>
  </si>
  <si>
    <t>灵山县和邦盛世家居工业基地及配套项目</t>
  </si>
  <si>
    <t>一期建设实木复合木地板厂、强化木地板厂、木地板基材厂、产品交易展馆等。二期建设项目饰面板厂、门窗厂、定制家居厂等。</t>
  </si>
  <si>
    <t>建设项目一期工程。</t>
  </si>
  <si>
    <t>和邦盛世家居股份有限公司</t>
  </si>
  <si>
    <t>灵山县天山电子液晶显示器及模组产业化基地项目</t>
  </si>
  <si>
    <t>总建筑面积12.4万平方米，建设生产车间、办公大楼、研发中心、员工宿舍、食堂及配套设施。</t>
  </si>
  <si>
    <t>完成项目一期的总评，建设1#厂房。</t>
  </si>
  <si>
    <t>已完成项目备案，正在平整土地。</t>
  </si>
  <si>
    <t>没完全落实用地指标，征拆工作没有完成。</t>
  </si>
  <si>
    <t>广西天山电子股份有限公司</t>
  </si>
  <si>
    <t>灵山县医药制剂研发生产中心项目</t>
  </si>
  <si>
    <t>总建筑面积5.9万平方米，建设制剂车间、原料和成品库房、科技孵化基地等。</t>
  </si>
  <si>
    <t>11月</t>
  </si>
  <si>
    <t>开工建设。</t>
  </si>
  <si>
    <t>广西园丰牧业股份有限公司</t>
  </si>
  <si>
    <t>广西业成集团总部经济建设项目</t>
  </si>
  <si>
    <t>建设集团总部办公大厦及实木复合地板、板式家具生产线。</t>
  </si>
  <si>
    <t>土地未开始挂牌，项目用地需要协调。</t>
  </si>
  <si>
    <t>广西业成集团有限公司</t>
  </si>
  <si>
    <t>灵山县园丰牧业生物有机肥厂建设项目</t>
  </si>
  <si>
    <t>总建筑面积4.2万平方米，建设1条10万吨生物有机肥肥料生产线、生产车间、成品仓库、原料库和综合楼等。</t>
  </si>
  <si>
    <t>灵山县匠星玩具生产项目</t>
  </si>
  <si>
    <t>总建筑面积2.2万平方米，年产1200万件玩具。</t>
  </si>
  <si>
    <t>实现一期项目开工建
设。</t>
  </si>
  <si>
    <t>1.土地指标未落实；
2.需要调规。</t>
  </si>
  <si>
    <t>灵山县匠星玩具有限公司</t>
  </si>
  <si>
    <t>灵山县兴泰木业年产10万套板式家具板</t>
  </si>
  <si>
    <r>
      <rPr>
        <sz val="11"/>
        <rFont val="宋体"/>
        <charset val="134"/>
      </rPr>
      <t>总建筑面积3.3万平方米，建设生产车间、仓库、辅助用房</t>
    </r>
    <r>
      <rPr>
        <sz val="11"/>
        <rFont val="宋体"/>
        <charset val="134"/>
      </rPr>
      <t>,</t>
    </r>
    <r>
      <rPr>
        <sz val="11"/>
        <rFont val="宋体"/>
        <charset val="134"/>
      </rPr>
      <t>购置电脑、开料锯，堆台锯、底漆砂光机、宽幅异型砂光机、流水线等设备。</t>
    </r>
  </si>
  <si>
    <t>广西灵山县兴泰木业有限公司</t>
  </si>
  <si>
    <t>灵山县琮皓钢化玻璃生产线建设项目</t>
  </si>
  <si>
    <r>
      <rPr>
        <sz val="11"/>
        <rFont val="宋体"/>
        <charset val="134"/>
      </rPr>
      <t>设计年产70万平方米钢化玻璃</t>
    </r>
    <r>
      <rPr>
        <sz val="11"/>
        <rFont val="宋体"/>
        <charset val="134"/>
      </rPr>
      <t>,</t>
    </r>
    <r>
      <rPr>
        <sz val="11"/>
        <rFont val="宋体"/>
        <charset val="134"/>
      </rPr>
      <t>建设厂房、办公室、员工宿舍、生产线及相关配套设施。</t>
    </r>
  </si>
  <si>
    <t>部分投产。</t>
  </si>
  <si>
    <t>通电问题。</t>
  </si>
  <si>
    <t>广西灵山县琮皓装饰材料有限责任公司</t>
  </si>
  <si>
    <t>灵山县桂泽农资3万吨柑桔精加工生产线建设项目</t>
  </si>
  <si>
    <t>建设3万吨柑桔精加工生产线。</t>
  </si>
  <si>
    <t>建成投产。</t>
  </si>
  <si>
    <t>林地指标尚未批复。</t>
  </si>
  <si>
    <t>广西灵山县桂泽农资有限公司</t>
  </si>
  <si>
    <t>浦北县瀛通电子生产基地项目</t>
  </si>
  <si>
    <t>总建筑面积7.6万平方米，建设厂房、耳机电子装配生产流水线、智能消费电子产品装备线。</t>
  </si>
  <si>
    <t>完成一期3万平方米标准厂房建设及机器设备购置安装。</t>
  </si>
  <si>
    <t>基本完成土地平整，正在接水电。</t>
  </si>
  <si>
    <t>部分用地征拆未解决。</t>
  </si>
  <si>
    <t>1.4丘坟山未迁移；
2.用电问题未解决。</t>
  </si>
  <si>
    <t>湖北瀛通通讯线材股份有限公司</t>
  </si>
  <si>
    <t>浦北县人民政府</t>
  </si>
  <si>
    <t>浦北县</t>
  </si>
  <si>
    <t>浦北县年产60万立方米高级生态板项目</t>
  </si>
  <si>
    <t>总建筑面积48万平方米，建设生产厂房及仓库及配套设施。</t>
  </si>
  <si>
    <t>完成厂房建设。</t>
  </si>
  <si>
    <t>已完成项目备案和选址。</t>
  </si>
  <si>
    <t>1.土地指标未落实；
2.土规未调整。</t>
  </si>
  <si>
    <t>浦北县德益木业有限责任公司</t>
  </si>
  <si>
    <t>浦北县宜和家具生产项目</t>
  </si>
  <si>
    <t>总建筑面积4.2万平方米，建设生产厂房、仓库、综合楼、研发楼以及购置生产线设备等。</t>
  </si>
  <si>
    <t>已完成项目选址。</t>
  </si>
  <si>
    <t>广西宜和木业有限公司</t>
  </si>
  <si>
    <t>浦北县轻量化动力电池液冷托盘项目</t>
  </si>
  <si>
    <t>总建筑面积4.8万平方米，建设生产车间、成品仓库、品管车间、原料车间及配套设施。</t>
  </si>
  <si>
    <t>广西福来达科技有限公司</t>
  </si>
  <si>
    <t>浦北县新型环保塑料制品生产及出口基地项目</t>
  </si>
  <si>
    <t>年产量2万吨，建设生产PVC环保管材、PVC挤出装饰型材、PPR给水管材、PE给排水管材及配件。</t>
  </si>
  <si>
    <t>完成厂房建设及机器设备购置安装。</t>
  </si>
  <si>
    <t>解决土地未平整交付问题。</t>
  </si>
  <si>
    <t>广西融和塑业有限公司</t>
  </si>
  <si>
    <t>浦北县红韵轩家具项目</t>
  </si>
  <si>
    <t>总建筑面积1.4万平方米，建设家具生产车间、展厅、仓库。</t>
  </si>
  <si>
    <t>完成厂房及厂区配套设施建设。</t>
  </si>
  <si>
    <t>三通一平问题。</t>
  </si>
  <si>
    <t>浦北县红韵轩家具有限公司</t>
  </si>
  <si>
    <t>浦北县浦越钦香沉香工业发展项目</t>
  </si>
  <si>
    <t>建设年产值约为4000万元沉香精油、茶叶、香制品生产线。</t>
  </si>
  <si>
    <t>完成土方平整及开工建设厂房。</t>
  </si>
  <si>
    <t>用地指标问题。</t>
  </si>
  <si>
    <t>广西浦钦香农业科技有限公司</t>
  </si>
  <si>
    <t>浦北县富通电子加工项目</t>
  </si>
  <si>
    <t>总建筑面积3800平方米，建设加工工厂、宿舍楼、综合楼、仓库。</t>
  </si>
  <si>
    <t>前期工作准备完成，项目开工建设达30%以上。</t>
  </si>
  <si>
    <t>浦北县富通电子科技有限公司福旺镇凤山分公司</t>
  </si>
  <si>
    <t>钦南区鑫丰家具生产基地</t>
  </si>
  <si>
    <t>年生产40万套家具，建设家具生产线3条及办公生活区。</t>
  </si>
  <si>
    <t>2月</t>
  </si>
  <si>
    <t>完成2个生产车间建设。</t>
  </si>
  <si>
    <t>已完成项目备案，正在申请用地指标。</t>
  </si>
  <si>
    <t>用地指标尚未批复。</t>
  </si>
  <si>
    <t>土地招拍挂问题。</t>
  </si>
  <si>
    <t>广西斡得家具有限公司</t>
  </si>
  <si>
    <t>钦南区人民政府</t>
  </si>
  <si>
    <t>钦南区</t>
  </si>
  <si>
    <t>钦南区怀爱无机保温隔热防火干粉砂浆生产项目</t>
  </si>
  <si>
    <t>年产无机保温隔热防火干粉砂浆系列产品5万吨。</t>
  </si>
  <si>
    <t>完成4个车间建设。</t>
  </si>
  <si>
    <t>已完成项目备案，正在办理施工许可。</t>
  </si>
  <si>
    <t>供水供电网络未通。</t>
  </si>
  <si>
    <t>项目建设用电、供水问题。</t>
  </si>
  <si>
    <t>广西怀爱保温建材有限公司</t>
  </si>
  <si>
    <t>钦北区埃索凯15万吨高纯硫酸锰项目</t>
  </si>
  <si>
    <t>建设年产15万吨高纯硫酸锰生产线。</t>
  </si>
  <si>
    <t>完成7栋生产厂房、2栋办公室、宿舍楼建设。</t>
  </si>
  <si>
    <t>已完成备案和土地平整，用地报批手续已上报，等待批复及招拍挂。</t>
  </si>
  <si>
    <t>没有土地指标，未能进行土地挂牌。</t>
  </si>
  <si>
    <t>1.150亩土地待市土审会审定；
2.加快节能批复。</t>
  </si>
  <si>
    <t>广西埃索凯化工有限公司</t>
  </si>
  <si>
    <t>钦北区人民政府</t>
  </si>
  <si>
    <t>钦北区</t>
  </si>
  <si>
    <t>钦北区海鸭蛋生产线项目</t>
  </si>
  <si>
    <t>建设日加工200万枚海鸭蛋生产线及年产20万吨海蛋鸭生物鉰料生产线。</t>
  </si>
  <si>
    <t>完成生产车间建设。</t>
  </si>
  <si>
    <t>加快环评批复。</t>
  </si>
  <si>
    <t>广西桂柳牧业集团</t>
  </si>
  <si>
    <t>钦北区古典红木与现代家居生产项目</t>
  </si>
  <si>
    <t>建设红木与现代家具生产线。</t>
  </si>
  <si>
    <t>建设办公楼，完成标准厂房建设。</t>
  </si>
  <si>
    <t>已完成备案和土地平整。</t>
  </si>
  <si>
    <t>因道路还在建设中，材料无法进场。</t>
  </si>
  <si>
    <t>高压电杆未迁移。</t>
  </si>
  <si>
    <t>广西万和家具有限公司</t>
  </si>
  <si>
    <t>钦北区文盛矿业钛毛矿选矿项目</t>
  </si>
  <si>
    <t>建设年处理58万吨选矿车间。</t>
  </si>
  <si>
    <t>已完成项目备案，正在进行土地平整工作。</t>
  </si>
  <si>
    <t>129亩用地，还差59亩没有指标。</t>
  </si>
  <si>
    <t>1.低压电杆未迁移；
2.新增用地指标未落实。</t>
  </si>
  <si>
    <t>广西文盛矿业有限公司</t>
  </si>
  <si>
    <t>钦北区金风科技风电产业基地一期项目</t>
  </si>
  <si>
    <t>建设年产200台风机主机设备生产线。</t>
  </si>
  <si>
    <t>完成办公楼，生产厂房建设。</t>
  </si>
  <si>
    <t>已完成备案和土地平整，等待土地招拍挂。</t>
  </si>
  <si>
    <t>60亩土地待市土审会审批。</t>
  </si>
  <si>
    <t>新疆金风科技股份有限公司</t>
  </si>
  <si>
    <t>钦北区年产24万吨高科技生物饲料生产线项目</t>
  </si>
  <si>
    <t>建设年产24万吨高科技生物饲料生产线。</t>
  </si>
  <si>
    <t>完成办公楼、综合楼、成品车间、原料车间等建设。</t>
  </si>
  <si>
    <t>已完成备案，正在进行土地平整，等待土地招拍挂。</t>
  </si>
  <si>
    <t>48亩待市召开土地价审会、集策会审批。</t>
  </si>
  <si>
    <t>钦州湘大骆驼饲料有限公司</t>
  </si>
  <si>
    <t>钦北区大北农饲料生产项目</t>
  </si>
  <si>
    <t>建设年产30万吨饲料生产线。</t>
  </si>
  <si>
    <t>完成基础开挖工作。</t>
  </si>
  <si>
    <t>已完成备案，正在进行土地平整。</t>
  </si>
  <si>
    <t>南宁大北农饲料科技有限责任公司</t>
  </si>
  <si>
    <t>（二）</t>
  </si>
  <si>
    <t>灵山县大怀山风电场二期</t>
  </si>
  <si>
    <t>总装机规模100MW。</t>
  </si>
  <si>
    <t>完成50台风机吊装，投产10台，容量20MW。</t>
  </si>
  <si>
    <t>已完成项目核准。</t>
  </si>
  <si>
    <t>未落实用地指标，电网接入未批复。</t>
  </si>
  <si>
    <t>1、土地审批正在落实；
2、400亩征地尚未开展。</t>
  </si>
  <si>
    <t>广西灵山大怀山新能源有限公司</t>
  </si>
  <si>
    <t>能源</t>
  </si>
  <si>
    <t>灵山县琦泉1×40MW生物质发电项目</t>
  </si>
  <si>
    <t>占地150亩，建设40MW高温超高压中间再热纯凝式汽轮机发电机组1台，130t/h生物质锅炉1台及相关配套设施。</t>
  </si>
  <si>
    <t>广西琦泉能源科技有限公司</t>
  </si>
  <si>
    <t>灵山县生活垃圾焚烧发电项目</t>
  </si>
  <si>
    <t>日处理垃圾700吨，建设机械炉排炉1台，15MW汽轮发电机组1台以及相关配套设施。</t>
  </si>
  <si>
    <t>完成厂房主体工程建
设。</t>
  </si>
  <si>
    <t>已完成项目核准，场地正在平整，临时围墙正在施工。</t>
  </si>
  <si>
    <t>未完成约3-4亩土地征收，施工合同尚未办理。</t>
  </si>
  <si>
    <t>灵山县金利亚环保科技有限公司</t>
  </si>
  <si>
    <t>灵山县凯德新能源太阳能板生产项目</t>
  </si>
  <si>
    <t>建设太阳能板生产线，年产太阳能板100万片。</t>
  </si>
  <si>
    <t>竣工投产。</t>
  </si>
  <si>
    <t>广西灵山凯德新能源科技有限公司</t>
  </si>
  <si>
    <t>钦南区低风速试验风电项目</t>
  </si>
  <si>
    <t>容量106MW，计划安装48台单机容量2.2MW的风力发电机组。</t>
  </si>
  <si>
    <t>完成800亩征地，升压站48台以及道路建设。</t>
  </si>
  <si>
    <t>已完成4.5公里道路施工及1基风机基础浇筑。</t>
  </si>
  <si>
    <t>电网接入尚未批复。</t>
  </si>
  <si>
    <t>电网接入未获得自治区批复。</t>
  </si>
  <si>
    <t>广西龙源风力发电有限公司</t>
  </si>
  <si>
    <t>钦南区风门岭风电场工程</t>
  </si>
  <si>
    <t>容量50MW，以220kV电压等级接入系统。</t>
  </si>
  <si>
    <t>取得自治区并网批复和30亩用地指标，完成20公里道路建设。</t>
  </si>
  <si>
    <t>已完成项目核准、规划选址、用地预审、林地等批复。</t>
  </si>
  <si>
    <t>未取得并网意向批复；剩余100MW容量未核准。</t>
  </si>
  <si>
    <t>1、未取得自治区并网意向批复；
2、剩余100MW容量自治区未核准。</t>
  </si>
  <si>
    <t>华电广西能源有限公司</t>
  </si>
  <si>
    <t>（三）</t>
  </si>
  <si>
    <t>中国-东盟（钦州）云计算及大数据中心厂房及配套设施项目</t>
  </si>
  <si>
    <t>总建筑面积2.5万平方米，建设标准厂房、购置云计算机柜设备、动力设施、装饰装修、机电安装等配套设施。</t>
  </si>
  <si>
    <t>完成机房主体3层建
设。</t>
  </si>
  <si>
    <t>已完成项目备案、土地招拍挂等前期工作，正在进行设计招标工作。</t>
  </si>
  <si>
    <t>建设资金未落实。</t>
  </si>
  <si>
    <t>建设资金缺口10000万元。</t>
  </si>
  <si>
    <t>市开投集团公司</t>
  </si>
  <si>
    <t>市发展改革委</t>
  </si>
  <si>
    <t>因资金缺乏，开投建议年度计划投资调整为4000万元。</t>
  </si>
  <si>
    <t>市发改委</t>
  </si>
  <si>
    <t>服务业</t>
  </si>
  <si>
    <t>智慧天网（天网四期工程）</t>
  </si>
  <si>
    <t>建设640个高清监控摄像头，199处车辆卡口和200处人像卡口，配套一批实战应用管理平台。</t>
  </si>
  <si>
    <t>国家发改委已批准“天网四期”进入备选项目规划中，目前正完善项目建设方案与前期手续。</t>
  </si>
  <si>
    <t>项目配套资金尚未落实，资金申请表尚未通过国家发改委审批。</t>
  </si>
  <si>
    <t>市公安局</t>
  </si>
  <si>
    <t>钦州港祥龙物流园区二期</t>
  </si>
  <si>
    <t>规划用地256亩，建设仓储、柜区堆场，场内道路、给排水、电气、消防、设备等。</t>
  </si>
  <si>
    <t>完成土建工程。</t>
  </si>
  <si>
    <t>已完成规划选址。</t>
  </si>
  <si>
    <t>设计方案尚未完成、未明确建设规模及内容。</t>
  </si>
  <si>
    <t>广西钦州市祥龙物流有限公司</t>
  </si>
  <si>
    <t>钦州保税港区诚航进口木材供应链加工物流项目（一期）</t>
  </si>
  <si>
    <t>总建筑面积3.06万平方米，建设厂房、配套用房以及电房、消防系统、绿化、道路等配套设施。</t>
  </si>
  <si>
    <t>广西钦州保税港区诚航木业有限公司</t>
  </si>
  <si>
    <t>中马钦州产业园区多式联运综合基地项目</t>
  </si>
  <si>
    <t>总建筑面积57万平方米,建设商贸一体化物流产业链、园区物流服务配套平台、跨境电商平台及物流、金融、数据中心。</t>
  </si>
  <si>
    <t>已签订项目投资协议及组建项目公司协议，正在平整场地。</t>
  </si>
  <si>
    <t>安通控股股份有限公司</t>
  </si>
  <si>
    <t>中马钦州产业园区创意设计园（创新谷一期）</t>
  </si>
  <si>
    <t>总建筑面积2.66万平方米，建设设计研发中心及培训中心等，布局游戏动漫、创意设计产业。</t>
  </si>
  <si>
    <t>一期主体封顶。</t>
  </si>
  <si>
    <t>项目土地已平整，完成土地使用性质调整，土地招拍挂程序已启动。</t>
  </si>
  <si>
    <t>中衡设计股份有限公司</t>
  </si>
  <si>
    <t>三娘湾渔村片区(第一期)乡村振兴开发项目</t>
  </si>
  <si>
    <t>总建筑面积19.2万平方米,建设五星级宾馆、渔村地标建筑、渔家风情文化广场、滨海广场、美食广场等。</t>
  </si>
  <si>
    <t>完成一期6万平方米建筑建设。</t>
  </si>
  <si>
    <t>正在编制设计方案。</t>
  </si>
  <si>
    <t>土规及规划指标调整，土地报批、林地报批问题。</t>
  </si>
  <si>
    <t>1.规划指标需要调整；
2.新增用地未征收；
3.土地收储资金未落实；
4.协助办理方案报建手续。</t>
  </si>
  <si>
    <t>广西华发集团公司</t>
  </si>
  <si>
    <t>三娘湾管理区管委</t>
  </si>
  <si>
    <t>三娘湾</t>
  </si>
  <si>
    <t>滨海新城滨海温泉度假中心</t>
  </si>
  <si>
    <t>建设温泉会所、海洋疗法中心、康养理疗中心以及水主题公园。</t>
  </si>
  <si>
    <t>开工建设温泉会所。</t>
  </si>
  <si>
    <t>项目业主正在进行内部论证，尚未确定建设规模和总投资等。</t>
  </si>
  <si>
    <t>项目用地86亩需协调挂牌供地。</t>
  </si>
  <si>
    <t>广西滨海城市建设发展有限公司</t>
  </si>
  <si>
    <t>市滨海新城管委</t>
  </si>
  <si>
    <t>滨海新城</t>
  </si>
  <si>
    <t>北部湾国际康旅小镇与农林文化综合体</t>
  </si>
  <si>
    <t>建设湿地公园4000亩、农林文化休闲运动项目、自驾车营地、一带一路文化体验区、特色农林产品加工区及配套设施。</t>
  </si>
  <si>
    <t>完成总体项目方案设计、凉果厂20亩接待中心前期工作、4000亩湿地公园报批及征地租地等。</t>
  </si>
  <si>
    <t>广西乐百年农林产业开发有限公司</t>
  </si>
  <si>
    <t>北部湾华侨投资区管委</t>
  </si>
  <si>
    <t>华侨投资区</t>
  </si>
  <si>
    <t>广西安阳表面处理集控区标准厂房及其配套设施建设项目</t>
  </si>
  <si>
    <t>总建筑面积50万平方米，建设标准厂房，仓储物流中心。</t>
  </si>
  <si>
    <t>建设标准厂房3栋、配套设施1栋、污水处理厂1座。</t>
  </si>
  <si>
    <t>1.土地指标尚未落实；
2.环评手续未办好。</t>
  </si>
  <si>
    <t>广西泰如工业园投资有限公司</t>
  </si>
  <si>
    <t>灵山县汽车产业园建设项目</t>
  </si>
  <si>
    <t>总建筑面积约20万平方米，建设一体化现代化专业管理服务型市场。</t>
  </si>
  <si>
    <t>完成基础建设及交易市场报建手续。</t>
  </si>
  <si>
    <t>已完成备案、规划总平面图等。</t>
  </si>
  <si>
    <t>广西灵山银朝投资有限公司</t>
  </si>
  <si>
    <t>灵山县园丰牧业畜禽屠宰冷链加工项目</t>
  </si>
  <si>
    <t>建设年屠宰生猪40万头和年屠宰肉鸡1500万羽的屠宰加工厂、5000吨冷链中心冷藏仓库和物流配送中心。</t>
  </si>
  <si>
    <t>建设生猪屠宰生产线。</t>
  </si>
  <si>
    <t>已完成项目选址、备案、方案设计等。</t>
  </si>
  <si>
    <t>项目用地有17亩左右涉及征拆未解决。</t>
  </si>
  <si>
    <t>灵山县龙武田园综合体项目</t>
  </si>
  <si>
    <t>总建筑面积52万平方米，建设游客中心、庄园文化、记忆乡居田园社区综合服务、生态观光带及相关配套设施。</t>
  </si>
  <si>
    <t>正在编制物有所值评价报告和财政承受能力论证报告。</t>
  </si>
  <si>
    <t>灵山县文化广电体育旅游局</t>
  </si>
  <si>
    <t>灵山县旅游集散中心项目</t>
  </si>
  <si>
    <t>建设集散中心综合楼、旅游商品购物街、特色美食街、站前广场、停车场等。</t>
  </si>
  <si>
    <t>A地块开工建设。</t>
  </si>
  <si>
    <t>灵山县宏丽旅游投资开发有限公司</t>
  </si>
  <si>
    <t>浦北县奇才贸易有限公司仓储物流项目</t>
  </si>
  <si>
    <t>总建筑面积6.5万平方米，建设综合楼及仓储用房。</t>
  </si>
  <si>
    <t>完成综合楼建设。</t>
  </si>
  <si>
    <t>完成项目备案、用地预审、选址意见。</t>
  </si>
  <si>
    <t>用地指标没有落实。</t>
  </si>
  <si>
    <t>浦北县奇才贸易有限公司</t>
  </si>
  <si>
    <t>钦南区中盼·龙门梦之岛项目</t>
  </si>
  <si>
    <t>建设康养小镇、花卉公园、主体公园、田园综合体、商务旅游综合服务区。</t>
  </si>
  <si>
    <t>完成部分康养小镇、田园综合体、商业以及旅游服务业区的建设。</t>
  </si>
  <si>
    <t>完成项目备案，选址、用地预审、土地平整等工作。</t>
  </si>
  <si>
    <t>未落实280亩用地指标。</t>
  </si>
  <si>
    <t>钦州中盼房地产有限公司</t>
  </si>
  <si>
    <t>钦南区那雾山森林公园旅游设施项目</t>
  </si>
  <si>
    <t>一期建设观光玻璃吊桥，二期建观光长廊、森林草原滑草等，三期建设森林人造海浪、森林高空秋千等。</t>
  </si>
  <si>
    <t>完成观光玻璃吊桥、观光长廊建设。</t>
  </si>
  <si>
    <t>建设资金缺口500万元。</t>
  </si>
  <si>
    <t>钦州市那雾山绿宇观光农业有限公司</t>
  </si>
  <si>
    <t>钦南区平银森林人家项目</t>
  </si>
  <si>
    <t>规划面积956亩，建设四季花海 、林垦文化园 、四季瓜果园、垂钓乐园、丛林烧烤场、生态养生餐厅、农家民宿区、森林康养中心等。</t>
  </si>
  <si>
    <t>完成主干道路硬化铺设、翻修林垦文化馆、完成景观绿化种植、休闲广场、四季花海、曲桥凉亭等景观建设。</t>
  </si>
  <si>
    <t>广西壮族自治区国有钦廉林场</t>
  </si>
  <si>
    <t>钦北区泰丰·林湖美地康养特色小镇一期项目</t>
  </si>
  <si>
    <t>总建筑面积46.5万平方米，建设全龄化养生社区、文化养生四合别院社区、休闲养生社区等。</t>
  </si>
  <si>
    <t>完成基础开挖工作，开展社区基础设施建设。</t>
  </si>
  <si>
    <t>钦州市泰俊置业有限公司</t>
  </si>
  <si>
    <t>钦北区鹰山温泉旅游度假区（一期）</t>
  </si>
  <si>
    <t>总建筑面积5.1万平方米，建设旅游集散中心、旅游步道、温泉度假中心、养老康复中心及相关配套设施。</t>
  </si>
  <si>
    <t>完成一期温泉池、绿化、路网及主入口景观等建设。</t>
  </si>
  <si>
    <t>取得备案、规划选址、用地预审、环评、节能、水保、不占用林地等批复。</t>
  </si>
  <si>
    <t>探矿权需要自治区自然资源厅批复。</t>
  </si>
  <si>
    <t>广西誉发投资有限公司</t>
  </si>
  <si>
    <t>二</t>
  </si>
  <si>
    <t>华谊一期工业气体岛项目</t>
  </si>
  <si>
    <t>续建</t>
  </si>
  <si>
    <t>建设64.4万Nm3/h（CO+H2）煤气化、净化及CO分离、30万Nm3/h制氢、100万吨/年甲醇、20万吨/年乙二醇、50万吨/年醋酸、2.25万吨/年硫回收等装置及相关配套辅助设施。</t>
  </si>
  <si>
    <t>2017-2020</t>
  </si>
  <si>
    <t>完成部分厂房建设。</t>
  </si>
  <si>
    <t>广西华谊能源化工有限公司</t>
  </si>
  <si>
    <t>2018年底实际完成4.5亿投资。业主计划2019年年度投资计划25亿。</t>
  </si>
  <si>
    <t>钦州港东南光纸业高端纸品项目一期工程</t>
  </si>
  <si>
    <t>建设年产20万吨优质环保型高端纸品生产线。</t>
  </si>
  <si>
    <t>完成办公楼、厂房基础建设。</t>
  </si>
  <si>
    <t>土地证更换时间问题。</t>
  </si>
  <si>
    <t>广西东南光纸业有限公司</t>
  </si>
  <si>
    <t>钦州保税港区全自动喷气纺纱加工项目</t>
  </si>
  <si>
    <t>建设年产1万吨高档纯棉纱生产线。</t>
  </si>
  <si>
    <t>2018-2020</t>
  </si>
  <si>
    <t>购置安装8条生产线。</t>
  </si>
  <si>
    <t>协助企业向自治区工信委申报直投资金补助4000万元。</t>
  </si>
  <si>
    <t>广西钦州保税港区奇智纺织品有限公司</t>
  </si>
  <si>
    <t>钦州保税港区金奔腾（钦州）汽车电子研发中心项目</t>
  </si>
  <si>
    <t>总建筑面积5.4万平方米，建设展览大厅、汽车库（含机械复式车库）、研发办公用房。</t>
  </si>
  <si>
    <t>完成建筑主体建设。</t>
  </si>
  <si>
    <t>资金缺口2790万</t>
  </si>
  <si>
    <t>中马钦州产业园区鑫德利光电科技研发与生产基地项目（一期）</t>
  </si>
  <si>
    <t>建设智能手机和ipad等触屏电子产品的3D玻璃屏幕面板生产线，年产600台3D热弯玻璃生产设备。</t>
  </si>
  <si>
    <t>完成9号、10号标房的相关附属设施建设，实现投产。</t>
  </si>
  <si>
    <t>中马钦州产业园区科技园项目</t>
  </si>
  <si>
    <t>总建筑面积为39万平方米。</t>
  </si>
  <si>
    <t>2016-2020</t>
  </si>
  <si>
    <t>完成二期工程基础施工,进行高层主体建设。</t>
  </si>
  <si>
    <t>1.股东出资不到位、公司建设资本金紧张；
2.产业用地上工业用房的分割出售问题。</t>
  </si>
  <si>
    <t>广西中马钦州产业园区金谷投资有限公司</t>
  </si>
  <si>
    <t>中马钦州产业园区由你造3D打印技术项目</t>
  </si>
  <si>
    <t>建设年产3D打印机100万台生产线，其中一期建设年产10万台生产线。</t>
  </si>
  <si>
    <t>改造完善现有生产线，扩充产能。</t>
  </si>
  <si>
    <t>物流问题影响设备及原材料采购。</t>
  </si>
  <si>
    <t>广西由你造科技有限公司</t>
  </si>
  <si>
    <t>中马钦州产业园区凯利数码智能电视机、液晶显示器项目（二期）</t>
  </si>
  <si>
    <t>建设年产300万台SEIKI(智能电视机)、液晶显示器生产线。</t>
  </si>
  <si>
    <t>完成部分厂房主体建
设。</t>
  </si>
  <si>
    <t>广西中马凯利数码有限公司</t>
  </si>
  <si>
    <t>由于市场原因，业主投资意向不强,建议移出项目库</t>
  </si>
  <si>
    <t>中马钦州产业园区国质信大数据信息技术及智能基站天线研发产业基地</t>
  </si>
  <si>
    <t>建设微波射频测试中心(远近场)、天线配套环境测试中心、天线研发中心及12条天线类产品生产线。</t>
  </si>
  <si>
    <t>2018-2021</t>
  </si>
  <si>
    <t>完成工程中心的装修工作，完成部分测试设备的安装。</t>
  </si>
  <si>
    <t>深圳市国质信网络通讯有限公司</t>
  </si>
  <si>
    <t>中马钦州产业园区舒视豪PC眼镜生产基地</t>
  </si>
  <si>
    <t>建设2条眼镜加工生产流水线、2个车房加工中心、1个集展示中心和验配中心为一体的视光学体验中心。</t>
  </si>
  <si>
    <t>完成厂房的装修、1条眼镜加工流水线、1个车房加工中心的建设。</t>
  </si>
  <si>
    <t>福建舒视豪光学股份有限公司</t>
  </si>
  <si>
    <t>中马钦州产业园区蛋壳机器人生产研发基地</t>
  </si>
  <si>
    <t>建设智能机器人研发、生产、销售基地。</t>
  </si>
  <si>
    <t>完成2条产品生产线建设与设备订购。</t>
  </si>
  <si>
    <t>蛋壳机器人科技有限公司</t>
  </si>
  <si>
    <t>中马建议年度计划投资改为2000万元。</t>
  </si>
  <si>
    <t>中马钦州产业园区抗肿瘤药物开发国家地方联合工程研究中心创新能力建设项目</t>
  </si>
  <si>
    <t>建设中药天然药质控检测、新产品中试、抗肿瘤新药研究、新产品新技术孵化、细胞医疗实验等五大平台。</t>
  </si>
  <si>
    <t>完成抗肿瘤新药研究平台、细胞医疗实验平台、新产品新技术孵化平台建设。</t>
  </si>
  <si>
    <t>广西慧宝源医药科技有限公司</t>
  </si>
  <si>
    <t>业主投资意向不强，中马建议删除。</t>
  </si>
  <si>
    <t>高新区逢源新型塑料管材生产项目</t>
  </si>
  <si>
    <t>年产15万吨新型塑料管材，建设10条新型塑料管材生产线。</t>
  </si>
  <si>
    <t>完成主体厂房建设。</t>
  </si>
  <si>
    <t>广西逢源实业有限公司</t>
  </si>
  <si>
    <t>高新区宇欣电脑配件生产项目</t>
  </si>
  <si>
    <t>建设厂房15万平方米，以及电子、电器元件和计算机软硬件生产线。</t>
  </si>
  <si>
    <t>2015-2020</t>
  </si>
  <si>
    <t>项目用地B3地块国土证证起始日期是2011年，但国土部门交地给宇欣公司是2013年，宇欣公司要求重新界定B3地块交地日期，修正国土证上的“使用年限起始日期”，同时要求减免B2/B3地块的土地使用税，依重新界定的交地日期开始缴交。</t>
  </si>
  <si>
    <t>广西钦州宇欣电子科技有限公司</t>
  </si>
  <si>
    <t>北部湾华侨投资区澳华进口牛羊综合加工项目</t>
  </si>
  <si>
    <t>建设进口牛羊待宰检验检疫隔离场和口岸活畜引道配套设施、屠宰、包装、冷冻储藏、无公害化病畜处理车间等。</t>
  </si>
  <si>
    <t>2018-2022</t>
  </si>
  <si>
    <t>完成隔离场建设，动工建设屠宰场。</t>
  </si>
  <si>
    <t>钦州澳华进出口贸易有限公司</t>
  </si>
  <si>
    <t>灵山县陆屋机电特色小镇建设</t>
  </si>
  <si>
    <r>
      <rPr>
        <sz val="11"/>
        <rFont val="宋体"/>
        <charset val="134"/>
      </rPr>
      <t>规划面积6.</t>
    </r>
    <r>
      <rPr>
        <sz val="11"/>
        <rFont val="宋体"/>
        <charset val="134"/>
      </rPr>
      <t>67</t>
    </r>
    <r>
      <rPr>
        <sz val="11"/>
        <rFont val="宋体"/>
        <charset val="134"/>
      </rPr>
      <t>平方公里，一期建设陆屋机电卫浴产业城标准厂房及相关配套设施，标准厂房面积50万平方米。</t>
    </r>
  </si>
  <si>
    <t>完成小镇展示厅、公共服务平台、游客中心及路网等配套设施建设。</t>
  </si>
  <si>
    <t>1.自筹资金不足；
2.园区服务管理平台和管理机构未正常运行。</t>
  </si>
  <si>
    <t>灵山县住房城乡建设局</t>
  </si>
  <si>
    <t>浦北县高迈新能源汽车动力电池模组封装及电池包生产建设项目</t>
  </si>
  <si>
    <t>建筑面积5万平方米，一期建设年产锂动力电池包5000套生产线（产能1.5G千瓦时），二期建设水氢燃料电池包生产线。</t>
  </si>
  <si>
    <t>一期锂电池包项目上半年上规入统，二期水氢燃料电池3月份开工。</t>
  </si>
  <si>
    <t>浦北高迈新能源科技有限公司</t>
  </si>
  <si>
    <t>浦北县东源木业时尚家居项目</t>
  </si>
  <si>
    <t>建设年产700万平方米地板生产车间。</t>
  </si>
  <si>
    <t>完成厂房、生产车间建设。</t>
  </si>
  <si>
    <t>广西东源木业有限公司</t>
  </si>
  <si>
    <t>浦北县三叔公农产品加工</t>
  </si>
  <si>
    <t>建筑面积1.5万平方米。</t>
  </si>
  <si>
    <t>广西北部湾三叔公农业发展有限公司</t>
  </si>
  <si>
    <t>浦北县生态农副产品加工项目</t>
  </si>
  <si>
    <t>建设2条大米深加工生产线，1条红椎菌饮料生产线。</t>
  </si>
  <si>
    <t>完成厂房等基础设施。</t>
  </si>
  <si>
    <t>广西浦北五皇山农业产品有限公司</t>
  </si>
  <si>
    <t>浦北县豪纬玩具制品生产项目</t>
  </si>
  <si>
    <t>建设年产840万套玩具生产线。</t>
  </si>
  <si>
    <t>完成机器购置安装并试产。</t>
  </si>
  <si>
    <t>景鸿企业有限公司</t>
  </si>
  <si>
    <t>钦南区改性沥青高分子湿铺防水卷材生产线项目</t>
  </si>
  <si>
    <t>建设15条改性沥青高分子湿铺防水卷材生产线。</t>
  </si>
  <si>
    <t>2017-2021</t>
  </si>
  <si>
    <t>完成厂区道路建设、2栋生产车间。</t>
  </si>
  <si>
    <t>项目用电、供水存在问题。</t>
  </si>
  <si>
    <t>广西钦州金雨伞防水科技有限公司</t>
  </si>
  <si>
    <t>钦南区年产20万吨生物无抗环保饲料项目</t>
  </si>
  <si>
    <t>建设年产20万吨猪饲料、鸡饲料、鱼饲料等生物无抗环保饲料型饲料生产线。</t>
  </si>
  <si>
    <t>完成年产20万吨生物无抗环保饲料厂建设。</t>
  </si>
  <si>
    <t>钦州市恒和农牧科技有限公司</t>
  </si>
  <si>
    <t>钦南区得劳斯住人集装箱项目</t>
  </si>
  <si>
    <t>年生产住人集装箱5000个，配套购置生产、加工机械及物流运输设备15台（套）。</t>
  </si>
  <si>
    <t>完成办公楼、宿舍及相关配套基础设施的建
设。</t>
  </si>
  <si>
    <t>1.项目用电、供水存在问题；
2.土地未能招拍挂。</t>
  </si>
  <si>
    <t>钦州市得劳斯集装箱有限公司</t>
  </si>
  <si>
    <t>钦北区医药产业一体化项目</t>
  </si>
  <si>
    <t>建设年产1500吨药剂、1000吨煎膏剂、500吨酒剂、1亿支合剂(口服液)、10亿片片剂、15亿粒胶囊剂、800吨颗粒剂生产线。</t>
  </si>
  <si>
    <t>完成标准厂房基础建
设。</t>
  </si>
  <si>
    <t>广西邦琪集团东阳药业有限公司</t>
  </si>
  <si>
    <t>钦北区肯泰生物医药建设项目</t>
  </si>
  <si>
    <t>建设年产片剂50亿片，口服液5000万支，颗粒剂2000吨。</t>
  </si>
  <si>
    <t>完成部分标准厂房建
设。</t>
  </si>
  <si>
    <t>钦州肯泰医药有限公司</t>
  </si>
  <si>
    <t>广西锰华新能源产业基地项目</t>
  </si>
  <si>
    <t>建设年产10万吨一氧化锰、1万吨高纯硫酸锰、1万吨高纯四氧化三锰生产线。</t>
  </si>
  <si>
    <t>广西锰华新能源科技发展有限公司</t>
  </si>
  <si>
    <t>钦北区年产6万吨聚甲氧基二甲醚清洁能源项目</t>
  </si>
  <si>
    <t>建设年产6万吨聚甲氧基二甲醚生产线。</t>
  </si>
  <si>
    <t>办公大楼封顶。</t>
  </si>
  <si>
    <t>钦州聚力新能源科技有限公司</t>
  </si>
  <si>
    <t>钦北区年产100台/套新型垃圾清运及压缩一体化系列设备</t>
  </si>
  <si>
    <t>建设年产100台/套新型垃圾清运及压缩一体化系列设备。</t>
  </si>
  <si>
    <t>广西源众科技有限公司</t>
  </si>
  <si>
    <t>浦北县龙门风电场（二期）</t>
  </si>
  <si>
    <t>装机容量100MW。</t>
  </si>
  <si>
    <t>完成总工程量的20%。</t>
  </si>
  <si>
    <t>1.并网申请还没获批复；
2.进场及场内道路、风机基础土地征收，坟山迁移。</t>
  </si>
  <si>
    <t>国投广西风电有限公司</t>
  </si>
  <si>
    <t>钦南区康熙岭渔光一体光伏电站</t>
  </si>
  <si>
    <t>总规模100MWp。</t>
  </si>
  <si>
    <t>完成30MW并网发电。</t>
  </si>
  <si>
    <t>项目三期建设指标未获自治区能源局批复。</t>
  </si>
  <si>
    <t>通威惠金新能源有限公司</t>
  </si>
  <si>
    <t>钦南区犀牛脚镇西坑村农业光伏互补光伏电站项目</t>
  </si>
  <si>
    <t>总规模120MWp,一期规模20MWp。</t>
  </si>
  <si>
    <t>完成20MWp光伏组件安装及并网发电。</t>
  </si>
  <si>
    <t>1000亩租地、15亩征地工作未完成。</t>
  </si>
  <si>
    <t>广西中肇新能源科技有限公司</t>
  </si>
  <si>
    <t>钦南区犀牛脚镇昌盛日电100MW农光互补光伏电站项目</t>
  </si>
  <si>
    <t>800亩租地、6亩征地工作未完成。</t>
  </si>
  <si>
    <t>钦州昌盛日电太阳能科技有限公司</t>
  </si>
  <si>
    <t>钦南区风电场工程</t>
  </si>
  <si>
    <t>装机容量50MW。</t>
  </si>
  <si>
    <t>实现部分风机并网发
电。</t>
  </si>
  <si>
    <t>1.用地未获自治区批复；
2.金光公司林木青赔问题未解决。</t>
  </si>
  <si>
    <t>中节能风力发电股份有限公司</t>
  </si>
  <si>
    <t>钦州渔港经济区开发项目</t>
  </si>
  <si>
    <t>建设丝螺港避风锚地升级改造、犀牛脚中心渔港突堤码头等。</t>
  </si>
  <si>
    <t>完成犀牛脚中心渔港突堤码头建设以及犀牛脚现代渔港项目前期工作。</t>
  </si>
  <si>
    <t>1.支持渔港经济区概念规划资金60万；
2.协调项目规划、用海等手续办理；
3.支持现代渔港项目立项。</t>
  </si>
  <si>
    <t>钦州渔监处</t>
  </si>
  <si>
    <t>市农业农村局</t>
  </si>
  <si>
    <t>市水产畜牧兽医局</t>
  </si>
  <si>
    <t>农业</t>
  </si>
  <si>
    <t>中国龟谷（钦州）名龟养殖休闲园建设项目</t>
  </si>
  <si>
    <t>养殖区3000亩，建设养殖配套居住用房、龟原种场、名龟养殖园、龟博物馆及相关配套设施。</t>
  </si>
  <si>
    <t>2014-2021</t>
  </si>
  <si>
    <t>完成龟博物馆、名龟养殖园、商贸区建设。</t>
  </si>
  <si>
    <t>项目融资困难。</t>
  </si>
  <si>
    <t>广西兴联投资置业有限公司</t>
  </si>
  <si>
    <t>钦州市龙门蚝湾大蚝产业示范区</t>
  </si>
  <si>
    <t>建设钦州大蚝交易中心、海滨养生度假基地、渔光综合利用区、大蚝净化、大蚝深加工、冷库等。</t>
  </si>
  <si>
    <t>完成交易中心大厦主体建设。</t>
  </si>
  <si>
    <t>1.淡水管网未建设；
2.休闲旅游用地未解决；
3.建设资金缺口1800万元。</t>
  </si>
  <si>
    <t>广西维丰农业有限公司　　　</t>
  </si>
  <si>
    <t>钦南区熊猫雷竹笋生态种植项目</t>
  </si>
  <si>
    <t>年产鲜雷笋1万吨。</t>
  </si>
  <si>
    <t>完成1000亩熊猫雷笋生态种植。</t>
  </si>
  <si>
    <t>建设资金缺口1000万元。</t>
  </si>
  <si>
    <t>广西钦州广发雷竹笋有限公司</t>
  </si>
  <si>
    <t>钦北区金陵农牧有限公司养猪建设项目</t>
  </si>
  <si>
    <t>总建筑面积2.1万平方米，建设养猪场及配套设施，年出栏瘦肉型种猪苗1.05万头、商品仔猪苗4万头。</t>
  </si>
  <si>
    <t>完成猪舍建设。</t>
  </si>
  <si>
    <t>钦北区金陵农牧有限公司</t>
  </si>
  <si>
    <t>（四）</t>
  </si>
  <si>
    <t>富士康（钦州）医疗影像云中心项目</t>
  </si>
  <si>
    <t>建设钦州全域覆盖的医疗专网1张、医疗影像大数据存储服务中心1个，影像诊断中心4个、业务节点82个。</t>
  </si>
  <si>
    <t>完成钦州全域覆盖的医疗专网1张，影像诊断中心1个、30个业务节点建设。</t>
  </si>
  <si>
    <t>1.灵山县和浦北县医疗机构接入问题；
2.云计算和大数据产业的补贴落实</t>
  </si>
  <si>
    <t>广西斗方云科技有限公司</t>
  </si>
  <si>
    <t>市卫生健康委</t>
  </si>
  <si>
    <t>市卫健委</t>
  </si>
  <si>
    <t>钦州保税港区进口汽车仓储物流项目</t>
  </si>
  <si>
    <t>建设汽车室内仓库5.2万平方米、汽车室外堆场7820平方米、拆箱平台4608平方米、堆场8000平方米等。</t>
  </si>
  <si>
    <t>建设办公用房、拆箱平台及改装中心和部分堆场。</t>
  </si>
  <si>
    <t>广西钦州保税港区创大冷链物流有限公司</t>
  </si>
  <si>
    <t>钦州保税港区国际冷链物流示范项目</t>
  </si>
  <si>
    <t>总建筑面积3万平方米，建设冷冻仓库、恒温仓库、普通仓库及冷链加工厂房等。</t>
  </si>
  <si>
    <t>建设冷冻仓库主体。</t>
  </si>
  <si>
    <t>钦州保税港区侨益物流项目</t>
  </si>
  <si>
    <t>总建设面积7.1万平方米，建设仓储设施。</t>
  </si>
  <si>
    <t>完成平仓主体建设。</t>
  </si>
  <si>
    <t>广西钦州保税港区侨益物流有限公司</t>
  </si>
  <si>
    <t>2018年获得中央预算内补助3396万元，目前已支付2830万元。</t>
  </si>
  <si>
    <t>中马钦州产业园区国际医疗服务集聚区</t>
  </si>
  <si>
    <t>总建筑面积20.7万平方米。</t>
  </si>
  <si>
    <t>1#主楼和附楼完工并具备交付条件。</t>
  </si>
  <si>
    <t>广西中马钦州产业园区方圆实业有限公司</t>
  </si>
  <si>
    <t>中马建议年度计划投资改为5000万元。</t>
  </si>
  <si>
    <t>钦州华为数字小镇</t>
  </si>
  <si>
    <t>总建筑面积1.6万平方米，建设标准厂房、完成兰亭街和高新区一期旭日园67#楼的设计装修、空间布局及展示中心等。</t>
  </si>
  <si>
    <t>完成平台运营场所的装修建设。</t>
  </si>
  <si>
    <t>1.小镇后期装修资金缺口3700万元；
2.招商优惠政策。</t>
  </si>
  <si>
    <t>广西钦州高新技术产业开发区投资有限公司</t>
  </si>
  <si>
    <t>灵山地下通道商业街</t>
  </si>
  <si>
    <t>总建筑面积2.4万平方米，主要建设一条大型综合商业街。</t>
  </si>
  <si>
    <t>建设主体工程。</t>
  </si>
  <si>
    <t>灵山县国大置业有限公司</t>
  </si>
  <si>
    <t>灵山县万家兴购物中心项目</t>
  </si>
  <si>
    <t>总建筑面积2.22万平方米。</t>
  </si>
  <si>
    <t>广西宏裕房地产开发有限公司</t>
  </si>
  <si>
    <t>浦北县汽车商贸城项目</t>
  </si>
  <si>
    <t>总建筑面积17.3万平方米，建设汽车交易区、二手车交易中心等相关配套设施。</t>
  </si>
  <si>
    <t>2016-2021</t>
  </si>
  <si>
    <t>完成汽车检测中心建
设。</t>
  </si>
  <si>
    <t>1.资金未落实；
2.约333亩用地指标未解决。</t>
  </si>
  <si>
    <t>浦北县开发投资集团有限公司</t>
  </si>
  <si>
    <t>浦北县五皇山旅游景区提升工程</t>
  </si>
  <si>
    <t>总建筑面积14.9万平方米，建设通往景区三级公路，以及五皇禅寺、百年野生茶园景区等相关配套设施。</t>
  </si>
  <si>
    <t>完成五皇禅寺、百年野生茶园景区、三级公路等主体工程量80%。</t>
  </si>
  <si>
    <t>1.资金未落实；
2.用地指标未解决。</t>
  </si>
  <si>
    <t>浦北县越州仙湖精准扶贫农业生态康养旅游项目</t>
  </si>
  <si>
    <t>建设中式民居村落、临水养生木屋、游船码头、四季果岭、美食屋、无公害种植基地等。</t>
  </si>
  <si>
    <t>完成临水养生木屋、游船码头、生态停车场、游客服务中心等建设。</t>
  </si>
  <si>
    <t>协调解决建设土地指标20亩，永久性征地4亩，林地租用120亩。</t>
  </si>
  <si>
    <t>浦北县龙门镇人民政府</t>
  </si>
  <si>
    <t>浦北县大成镇柑子根红色旅游项目</t>
  </si>
  <si>
    <t>总建筑面积2500平方米，主要建设红色旅游基地、大成中心校到柑子根村的三级公路等配套设施。</t>
  </si>
  <si>
    <t>完成二期公共厕所，红色革命足迹道，休闲步道等项目建设。</t>
  </si>
  <si>
    <t>1.资金缺口4300万元；
2.用地指标未解决。</t>
  </si>
  <si>
    <t>钦南区松山乡村世界</t>
  </si>
  <si>
    <t>占地面积1245亩，建设生态休闲观光农业园。</t>
  </si>
  <si>
    <t>完成门楼建设、游客中心、星级卫生间、栈桥建设。</t>
  </si>
  <si>
    <t>广西钦州富新农业有限公司</t>
  </si>
  <si>
    <t>钦北区滑翔伞基地项目</t>
  </si>
  <si>
    <t>一期总建筑面积2.2万平方米，主要建设游客服务中心、观景长廊、起飞场地、降落场、初级训练场等。</t>
  </si>
  <si>
    <t>完成盘山公路、游客接待中心建设。</t>
  </si>
  <si>
    <t>建设资金紧缺。</t>
  </si>
  <si>
    <t>钦州皇马资产经营集团有限公司</t>
  </si>
  <si>
    <t>三</t>
  </si>
  <si>
    <t>天源年产2.5万吨电池级氢氧化锂项目</t>
  </si>
  <si>
    <t>竣工</t>
  </si>
  <si>
    <t>建设2.5万吨电池级氢氧化锂生产装置及相关配套公用工程。</t>
  </si>
  <si>
    <t>2018-2019</t>
  </si>
  <si>
    <t>招工及人员流动问题。</t>
  </si>
  <si>
    <t>广西天源新能源材料有限公司</t>
  </si>
  <si>
    <t>新天德吡啶生产项目</t>
  </si>
  <si>
    <t>建设吡啶生产厂房4876平方米、乙醛生产厂房975平方米，建设2万吨/年吡啶联合装置、3万吨乙醛单元、1台焚烧炉等处置工程及配套设施。</t>
  </si>
  <si>
    <t>融资困难。</t>
  </si>
  <si>
    <t>广西新天德能源有限公司</t>
  </si>
  <si>
    <t>统计库已报完数，钦州港建议删除。</t>
  </si>
  <si>
    <t>钦州保税港区得邦国际电子设备制造服务中心项目</t>
  </si>
  <si>
    <t>建设大型工程复印机、打印机制造及维修工作车间。</t>
  </si>
  <si>
    <t>完成生产线购置安装。</t>
  </si>
  <si>
    <t>协调南宁海关尽快审核通过企业生产能力评估。</t>
  </si>
  <si>
    <t>广西得邦机电再造有限公司</t>
  </si>
  <si>
    <t>中马钦州产业园区燕窝加工贸易基地</t>
  </si>
  <si>
    <t>建筑面积13.8万平方米，建设毛燕及相关产品检验检疫平台、燕窝产业大厦、加工车间等。</t>
  </si>
  <si>
    <t>2016-2019</t>
  </si>
  <si>
    <t>股东出资不到位导致建设资本金不足。</t>
  </si>
  <si>
    <t>中马建议年度计划投资调整为6400万元。</t>
  </si>
  <si>
    <t>中马钦州产业园区凯利数码智能电视机、液晶显示器项目（一期）</t>
  </si>
  <si>
    <t>建设年产100万台SEIKI（智能电视机）、液晶显示器生产线，20台注塑设备生产线。</t>
  </si>
  <si>
    <t>2017-2019</t>
  </si>
  <si>
    <t>高新区乐苏手机盖板和马达项目</t>
  </si>
  <si>
    <t>建筑面积1.2万平方米，建设年产1亿片手机玻璃盖板生产线1条，年产1.8亿只手机马达生产线1条。</t>
  </si>
  <si>
    <t>广西乐苏科技有限公司</t>
  </si>
  <si>
    <t>高新区吉悦食品北部湾生产基地</t>
  </si>
  <si>
    <t>建筑面积1.9万平方米，建设年产1200吨烘焙产品(面包、蛋糕类)、600吨季节性中秋月饼、600吨地方特色旅游食品生产线。</t>
  </si>
  <si>
    <t>广西钦州市吉悦食品有限公司</t>
  </si>
  <si>
    <t>高新区海洋生物制药及珍珠保健品生产项目</t>
  </si>
  <si>
    <t>建筑面积3万平方米，建设生产海洋天然药物制剂、保健养生产品、美容化妆品、珍珠饰品等生产线。</t>
  </si>
  <si>
    <t>2015-2019</t>
  </si>
  <si>
    <t>资金缺口1000万元。</t>
  </si>
  <si>
    <t>广西南珠制药有限公司</t>
  </si>
  <si>
    <t>高新区多燃料两冲程发动机生产项目一期</t>
  </si>
  <si>
    <t>建筑面积7100平方米，建设3.3千瓦发动机生产线1条、9.5千瓦发动机生产线1条以及喷油器生产线1条。</t>
  </si>
  <si>
    <t>资金缺口2000万元。</t>
  </si>
  <si>
    <t>广西银翼动力科技有限公司</t>
  </si>
  <si>
    <t>统计库已提前报完投资数。银翼二期项目选址未定，根据投资协议暂定105亩用地需求。</t>
  </si>
  <si>
    <t>高新区彤芷莹化妆品生产加工项目</t>
  </si>
  <si>
    <t>建筑面积1700平方米，建设彤芷莹化妆品生产加工生产线8条，生产膜、水、乳、霜、精华液。</t>
  </si>
  <si>
    <t>钦州市彤芷莹化妆品公司</t>
  </si>
  <si>
    <t>高新区海之源环保设备生产基地项目</t>
  </si>
  <si>
    <t>建筑面积1700平方米，建设环保设备生产线，主要生产全自动、半自动脉冲布袋除尘设备等。</t>
  </si>
  <si>
    <t>广西海之源环保科技有限公司</t>
  </si>
  <si>
    <t>北部湾大蚝深加工基地与互联网电子商务平台建设项目</t>
  </si>
  <si>
    <t>建筑面积7197平方米，建设电子商务平台示范点、牡蛎研究所、牡蛎压片糖果、蛋白质粉固体饮料生产线等及相关配套设施。</t>
  </si>
  <si>
    <t>钦州市阿蚌丁海洋生物有限公司</t>
  </si>
  <si>
    <t>灵山县铭盛电机设备及零配件生产项目</t>
  </si>
  <si>
    <t>建设年产1万吨机电配件铸造生产线。</t>
  </si>
  <si>
    <t>广西灵山县铭盛电机配件有限公司</t>
  </si>
  <si>
    <t>浦北县年产6万立方米多层复合环保木地板项目</t>
  </si>
  <si>
    <t>建设年产6万立方米多层复合环保木地板生产线。</t>
  </si>
  <si>
    <t>坟山迁移。</t>
  </si>
  <si>
    <t>广西万家兴木业有限公司</t>
  </si>
  <si>
    <t>浦北县木地板及家居用品生产项目</t>
  </si>
  <si>
    <t>建设高级木地板、年产1.8万套智能定制家具及8000套橱柜生产线。</t>
  </si>
  <si>
    <t>1.资金缺口1000万元；
2.进出道路未解决。</t>
  </si>
  <si>
    <t>广西百邦家居有限公司</t>
  </si>
  <si>
    <t>浦北县家常乐定制家具项目</t>
  </si>
  <si>
    <t>建设定制家具生产车间。</t>
  </si>
  <si>
    <t>浦北县家常乐家具有限公司</t>
  </si>
  <si>
    <t>浦北县多层夹板生态板、大芯板生产项目</t>
  </si>
  <si>
    <t>建设年产多层夹板、生态板3万立方米、大芯板2万立方米生产线。</t>
  </si>
  <si>
    <t>浦北县佳昌木业有限公司</t>
  </si>
  <si>
    <t>钦南区智朗混凝土搅拌站项目</t>
  </si>
  <si>
    <t>年产全封闭式预拌混凝土100万立方米，建设全封闭式预拌混凝土180型生产线两条。</t>
  </si>
  <si>
    <t>广西智朗建材有限公司</t>
  </si>
  <si>
    <t>钦南区闽兴进口木材加工项目</t>
  </si>
  <si>
    <t>建设年产8万立方米新型装饰模板、250万张普通模板生产线。</t>
  </si>
  <si>
    <t>广西闽兴木业有限公司</t>
  </si>
  <si>
    <t>钦南区瑞宏板业二期项目</t>
  </si>
  <si>
    <t>建设年产3万立方米胶合板生产线。</t>
  </si>
  <si>
    <t>加快项目用地手续的办理。</t>
  </si>
  <si>
    <t>钦南区瑞宏板业有限公司</t>
  </si>
  <si>
    <t>钦北区年产60万立方米蒸压混凝土砌块和60万立方米蒸压混凝土板材节能新型建材产业化项目</t>
  </si>
  <si>
    <t>建设年产60万立方米蒸压混凝土砌块和60万立方米蒸压混凝土板材节能新型建材生产线及相关附属设施。</t>
  </si>
  <si>
    <t>78亩土地待市土审会审定。</t>
  </si>
  <si>
    <t>广西新榕兴建材科技有限
公司</t>
  </si>
  <si>
    <t>钦北区年产20万吨改性沥青项目</t>
  </si>
  <si>
    <t>建设年产20万吨改性沥青生产线。</t>
  </si>
  <si>
    <t>茂名路圣沥青有限公司</t>
  </si>
  <si>
    <t>钦北区餐具消毒及干湿米粉生产项目</t>
  </si>
  <si>
    <t>建设餐具消毒及干湿米粉生产线。</t>
  </si>
  <si>
    <t>钦州市利佰兴食品有限公司</t>
  </si>
  <si>
    <t>钦北区弘大塑业塑料编织袋建设生产项目</t>
  </si>
  <si>
    <t>总建筑面积1.5万平方米，主要建设圆织车间、拉丝车间、地膜车间、印刷车间、腹膜车间等。</t>
  </si>
  <si>
    <t>钦州弘大塑胶科技有限公司</t>
  </si>
  <si>
    <t>中马钦州产业园区协鑫天然气分布式能源项目</t>
  </si>
  <si>
    <t>建设2×75MW及天然气联合循环机组。</t>
  </si>
  <si>
    <t>电力系统接入工程严重滞后。</t>
  </si>
  <si>
    <t>广西协鑫中马分布式能源有限公司</t>
  </si>
  <si>
    <t>灵山县八一茶场风电场一、二期工程</t>
  </si>
  <si>
    <t>装机容量10万千瓦。</t>
  </si>
  <si>
    <t>灵山县宇阳风电有限公司</t>
  </si>
  <si>
    <t>1月已并网发电。</t>
  </si>
  <si>
    <t>灵山县大怀山风电场项目（一期）</t>
  </si>
  <si>
    <t>尚有约30台风机的用地未征收。</t>
  </si>
  <si>
    <t>4月开始并网。</t>
  </si>
  <si>
    <t>钦南区康熙岭200MW（一期60MW)渔光互补光伏电站项目</t>
  </si>
  <si>
    <t>总装机规模6万千瓦。</t>
  </si>
  <si>
    <t>协调项目征地手续的办理。</t>
  </si>
  <si>
    <t>钦州鑫金光伏电力有限公司</t>
  </si>
  <si>
    <t>钦北区琦泉生物质发电项目</t>
  </si>
  <si>
    <t>建设生产40MW生物质发电机组。</t>
  </si>
  <si>
    <t>广西钦州琦泉生物质发电有限公司</t>
  </si>
  <si>
    <t>中国移动钦州永福通信机房</t>
  </si>
  <si>
    <t>总建筑面积6363平方米，建设通信机房楼1栋，设备机柜700个及相关配套设施。</t>
  </si>
  <si>
    <t>移动钦州分公司</t>
  </si>
  <si>
    <t>市工业和信息化局</t>
  </si>
  <si>
    <t>市工信局</t>
  </si>
  <si>
    <t>钦州市高新技术产业服务中心</t>
  </si>
  <si>
    <t>总建筑面积3.2万平方米，建设18层的孵化综合楼1栋。</t>
  </si>
  <si>
    <t>累计完成投资5907万元，2019年财政安排400万元，项目建成资金缺口1850万元。</t>
  </si>
  <si>
    <t>市科技局</t>
  </si>
  <si>
    <t>钦州保税港区桂吉冷链12万吨粮食仓储加工、集装箱堆场项目（一期）</t>
  </si>
  <si>
    <t>总建筑面积3.8万平方米，建设12万吨粮食仓储、集装箱堆场及配套设施设备等。</t>
  </si>
  <si>
    <t>完成建筑仓库主体建
设。</t>
  </si>
  <si>
    <t>广西钦州保税港区桂吉冷链物流有限公司</t>
  </si>
  <si>
    <t>钦州保税港区益盐堂综合加工物流中心项目（一期）</t>
  </si>
  <si>
    <t>总建筑面积2.8万平方米，建设生产车间、仓库、辅助生产用房等。</t>
  </si>
  <si>
    <t>项目尚未取得施工许可证</t>
  </si>
  <si>
    <t>广西益盐堂健康盐有限公司</t>
  </si>
  <si>
    <t>中马钦州产业园区东盟风情商业街项目</t>
  </si>
  <si>
    <t>总建筑面积1万平方米，建设展示中心、商业建筑等。</t>
  </si>
  <si>
    <t>钦南区北部湾二手车交易市场</t>
  </si>
  <si>
    <t>总建筑面积2.5万平方米，建设汽车交易展厅、交易服务大厅、车管业务大厅及相关配套设施。</t>
  </si>
  <si>
    <t>广西百宏汽车销售有限公司</t>
  </si>
  <si>
    <t>钦北区翠湖田园生态农业旅游休闲观光项目</t>
  </si>
  <si>
    <t>总建设面积1.4万平方米，建设现代农业示范园、休闲区、垂钓区、水果采摘区、古家具博物馆及相关配套设施。</t>
  </si>
  <si>
    <t>广西翠湖田园生态观光发展有限公司</t>
  </si>
  <si>
    <r>
      <rPr>
        <sz val="24"/>
        <rFont val="方正黑体_GBK"/>
        <charset val="134"/>
      </rPr>
      <t>附件</t>
    </r>
    <r>
      <rPr>
        <sz val="24"/>
        <rFont val="Times New Roman"/>
        <charset val="134"/>
      </rPr>
      <t>2</t>
    </r>
  </si>
  <si>
    <t>钦州市2019年总投资1000万元以上重点建设项目责任表（基础设施类项目）</t>
  </si>
  <si>
    <r>
      <rPr>
        <sz val="11"/>
        <rFont val="方正黑体_GBK"/>
        <charset val="134"/>
      </rPr>
      <t>到</t>
    </r>
    <r>
      <rPr>
        <sz val="11"/>
        <rFont val="Times New Roman"/>
        <charset val="134"/>
      </rPr>
      <t>2018</t>
    </r>
    <r>
      <rPr>
        <sz val="11"/>
        <rFont val="方正黑体_GBK"/>
        <charset val="134"/>
      </rPr>
      <t>年底累计完成投资</t>
    </r>
  </si>
  <si>
    <t>本年计划产值</t>
  </si>
  <si>
    <t>大塘至浦北高速公路</t>
  </si>
  <si>
    <t>高速公路，全长123.7公里，钦州段长109公里。</t>
  </si>
  <si>
    <t>路基工程完成设计量55%。</t>
  </si>
  <si>
    <t>协助办理用地报批手续。</t>
  </si>
  <si>
    <t>广西北部湾投资集团有限公司</t>
  </si>
  <si>
    <t>市交通运输局</t>
  </si>
  <si>
    <t>南宁至钦州公路（南间至黎合江段）改扩建工程</t>
  </si>
  <si>
    <t>二级公路，改扩建为一级公路，全长54公里。</t>
  </si>
  <si>
    <t>完成路基建设20%。</t>
  </si>
  <si>
    <t>完成路基土石方40%，桥梁、涵洞20%，路面10%。</t>
  </si>
  <si>
    <t>用地报批未获批复，项目公司未成立。</t>
  </si>
  <si>
    <t>组建PPP项目公司。加快管线迁移。</t>
  </si>
  <si>
    <t>PPP项目公司</t>
  </si>
  <si>
    <t>2018年获得中央车购税4000万元。</t>
  </si>
  <si>
    <t>浦北县石埇至钦州公路</t>
  </si>
  <si>
    <t>二级公路，全长约112.3公里，宽12米。</t>
  </si>
  <si>
    <t>全线新增占用基本农田910亩，呈零星分布状，取土场和弃土场均不能避开基本农田。用地手续因占用基本农田无法报批。</t>
  </si>
  <si>
    <t>广西翔路建设有限责任公司</t>
  </si>
  <si>
    <t>2018年获得中央车购税15000万元</t>
  </si>
  <si>
    <t>灵山县沙坪至大塘（钦州段）二级公路</t>
  </si>
  <si>
    <t>钦州段总长为55.6公里，按二级公路标准建设，设计速度60公里/小时，宽8.5米。</t>
  </si>
  <si>
    <t>路基工程完成100%，桥梁完成100%，涵洞工程完成100%。</t>
  </si>
  <si>
    <t>加快管线迁移。</t>
  </si>
  <si>
    <t>广西新发展交通集团有限公司</t>
  </si>
  <si>
    <t>南宁经钦州至防城港高速公路改扩建工程</t>
  </si>
  <si>
    <t>高速公路，全长138公里，其中钦州段68公里。</t>
  </si>
  <si>
    <t>竣工。</t>
  </si>
  <si>
    <t>协助办理用地报手续。</t>
  </si>
  <si>
    <t>累计获得中央车购税24.38亿元，燃油税0.46亿元</t>
  </si>
  <si>
    <t>钦州市小江棚户区改造工程</t>
  </si>
  <si>
    <t>总建筑面积60.8万平方米，包括新老丁村安置工程、油麻角菠萝桥安置点等43个子项目。</t>
  </si>
  <si>
    <t>2012-2020</t>
  </si>
  <si>
    <t>推进牛食禾、水鸭塘及新兴安置小区等项目建设。</t>
  </si>
  <si>
    <t>1.加快推进新丁村老丁村、高岭片区等征拆工作。
2.加快迁移高压电杆、通信光缆。
3、建设资金缺口6500万元。
4、尽快审批水鸭塘总平调整方案。</t>
  </si>
  <si>
    <t>市住房城乡建设局</t>
  </si>
  <si>
    <t>2014-2018年获得中央资金8917万元，自治区资金2100万元。</t>
  </si>
  <si>
    <t>钦州市主城区内河综合整治项目-黑臭水体整治工程</t>
  </si>
  <si>
    <t>整治13条内河，长度共72.3公里，建设截污纳管、底泥清淤及生态修复工程等。</t>
  </si>
  <si>
    <r>
      <rPr>
        <sz val="11"/>
        <rFont val="宋体"/>
        <charset val="134"/>
      </rPr>
      <t>2018-20</t>
    </r>
    <r>
      <rPr>
        <sz val="11"/>
        <rFont val="宋体"/>
        <charset val="134"/>
      </rPr>
      <t>19</t>
    </r>
  </si>
  <si>
    <t>完成东干渠、缸瓦沟、邓屋沟、沙江沟、彭屋沟、桃沟等6条黑臭水体整治。</t>
  </si>
  <si>
    <t>加快征拆工作。</t>
  </si>
  <si>
    <t>市城管执法局</t>
  </si>
  <si>
    <t>获得广西2018年中西部重点领域基础设施补短板补助资金8106万元。</t>
  </si>
  <si>
    <t>钦州市河西区供水管网三期工程</t>
  </si>
  <si>
    <t>铺设8条道路供水管15公里。</t>
  </si>
  <si>
    <t>铺设供水管网4.5公里。</t>
  </si>
  <si>
    <t>2018年获得中央预算内调整补助资金1200万元。</t>
  </si>
  <si>
    <t>钦州市金海湾东大街及南珠东大街排水管网建设工程</t>
  </si>
  <si>
    <t>对金海湾东大街、南珠东大街等存在安全隐患的排水管网进行改造。</t>
  </si>
  <si>
    <t>2018年获得中央预算内补助1721万元，目前已支付完毕。</t>
  </si>
  <si>
    <t>钦州市河西污水处理厂提标改造工程</t>
  </si>
  <si>
    <t>对污水处理厂进行提标改造。</t>
  </si>
  <si>
    <t>国润公司项目污水接入及排出的衔接事宜。</t>
  </si>
  <si>
    <t>获得广西2018年中西部重点领域基础设施补短板补助资金1737万元。</t>
  </si>
  <si>
    <t>钦州港东航道扩建工程（一期）吹填区平整工程（钦州港三墩华南、太平洋、振兴物流仓储项目）</t>
  </si>
  <si>
    <t>新建围堤总长4821米，吹填区面积92.40万平方米（合1386亩）。</t>
  </si>
  <si>
    <t>完成袋装砂围堰4800米，护坡4800米。</t>
  </si>
  <si>
    <t>1.项目缺乏资金。
2.公司采砂权证无法办理延期手续导致暂无合法采砂点。</t>
  </si>
  <si>
    <t>钦州临海工业公司</t>
  </si>
  <si>
    <t>获得2018年北部湾经济区建设补助资金3000万元。</t>
  </si>
  <si>
    <t>钦州保税港区瓶颈性基础设施工程</t>
  </si>
  <si>
    <t>建设保税港区八大街、十一大街、五大街道路工程及给排水、交通标志标线及绿化等附属工程。</t>
  </si>
  <si>
    <t>完成三号、九大街电力管沟建设；九大街、二号路给水管建设，八大街（三号路至黄海路段）路基建设。</t>
  </si>
  <si>
    <t>需自治区湾办继续给予资金支持。</t>
  </si>
  <si>
    <t>2019年获得自治区北部湾办重大产业发展专项资金</t>
  </si>
  <si>
    <t>钦州港东站集装箱办理站服务中心</t>
  </si>
  <si>
    <t>总建筑面积1566平方米，建设三层集装箱式钢结构集成化用房及相关配套设施。</t>
  </si>
  <si>
    <t>完成项目建设。</t>
  </si>
  <si>
    <t>中马钦州产业园区马莱大道</t>
  </si>
  <si>
    <t>全长5383米，宽70米。</t>
  </si>
  <si>
    <t>马莱大道与六钦高速的开口问题未获公路管理部门批复。</t>
  </si>
  <si>
    <t>中马钦州产业园区马莱大道累计获得新增政府债券限额1.38亿元。</t>
  </si>
  <si>
    <t>中马钦州产业园区农民安置公寓</t>
  </si>
  <si>
    <t>总建筑面积14万平方米，建设8栋楼共1536套房。</t>
  </si>
  <si>
    <t>1.明确需补交的土地出让金；
2.补办建设工程规划许可证。</t>
  </si>
  <si>
    <t>2017年获得中央预算内资金（保障房配套设施）2200万元，已全部支付完毕。2018年获得中央财政城镇保障性安居工程专项资金989万元。</t>
  </si>
  <si>
    <t>中马钦州产业园区友谊大道下穿铁路道路工程</t>
  </si>
  <si>
    <t>全长82米，宽68米。</t>
  </si>
  <si>
    <t>获得中央下拨的基建补助资金。</t>
  </si>
  <si>
    <t>高新区金州路</t>
  </si>
  <si>
    <t>金海湾东大街至鸿亭街段，全长3030米，宽40米。</t>
  </si>
  <si>
    <t>2009-2020</t>
  </si>
  <si>
    <t>完成鸿亭街段至坭兴街段道路工程建设。</t>
  </si>
  <si>
    <t>1.解决44亩土地征拆、14栋房屋拆除、16人补偿款发放、就业安置用地等征拆问题；
2.建设资金缺口2000万元。</t>
  </si>
  <si>
    <t>2018年获得中央预算内补助2000万元。</t>
  </si>
  <si>
    <t>高新区绿州路</t>
  </si>
  <si>
    <t>建设金海湾东大街至鸿亭街，长3030米，宽40米。</t>
  </si>
  <si>
    <t>2009-2019</t>
  </si>
  <si>
    <t>完成1公里道路建设。</t>
  </si>
  <si>
    <t>1.加快土地清表工作；
2.建设资金缺口1500万元。</t>
  </si>
  <si>
    <t>2018年获得中央预算内补助1000万元，剩余200万元未支付，其他资金尚未落实，开投建议调整为续建项目，年度投资1000万元。</t>
  </si>
  <si>
    <t>滨海新城安州大道中段（嘉兴街至滨海大道段）</t>
  </si>
  <si>
    <t>全长2159米，宽50米。</t>
  </si>
  <si>
    <t>2013-2020</t>
  </si>
  <si>
    <t>完成全线路面沥青铺设、路灯、绿化等。</t>
  </si>
  <si>
    <t>市滨海置业集团公司</t>
  </si>
  <si>
    <t>2016年、2017年分别获得中央预算内补助3000万和1000万元，累计4000万元中央资金均已支付完毕。</t>
  </si>
  <si>
    <t>滨海新城菩提路</t>
  </si>
  <si>
    <t>全长2433米，其中南段（嘉兴街-平山大街）长1461米、宽42米，北段（平山大街-金海湾东大街）长972米、宽30米。</t>
  </si>
  <si>
    <t>完成道路、绿化、路灯工程。</t>
  </si>
  <si>
    <t>征拆问题。</t>
  </si>
  <si>
    <t>2016年、2017年分别获得中央预算内补助2000万元和1000万元，中央资金目前累计拨付2217万元。</t>
  </si>
  <si>
    <t>滨海新城海棠街</t>
  </si>
  <si>
    <t>全长1828米，红线宽30米。</t>
  </si>
  <si>
    <t>2014-2020</t>
  </si>
  <si>
    <t>完成垂柳路至吉安路段建设。</t>
  </si>
  <si>
    <t>2015年、2016年共获得中央预算内补助2300万元，目前中央资金已支付完毕。</t>
  </si>
  <si>
    <t>滨海新城凌云街中段</t>
  </si>
  <si>
    <t>扬帆大道至粤桂路，全长518米，宽36米。</t>
  </si>
  <si>
    <t>完成道路工程。</t>
  </si>
  <si>
    <t>1.建设资金未落实；
2.征拆问题。</t>
  </si>
  <si>
    <t>2016年获得中央预算内补助500万元，累计拨付291元。</t>
  </si>
  <si>
    <t>滨海新城东边塘安置小区</t>
  </si>
  <si>
    <t>总建筑面积10.6万平方米，建设233套宅基地及配套工程。</t>
  </si>
  <si>
    <t>完成主体基础、配套设施及小区永久用水用电施工。</t>
  </si>
  <si>
    <t>2018年获得中央预算内补助1000万元，目前已支付306万元。</t>
  </si>
  <si>
    <t>三娘湾旅游管理区生活污水处理项目</t>
  </si>
  <si>
    <t>建设污水处理厂1座，污水提升泵站2座，铺设污水管29公里，日处理污水量2000立方米。</t>
  </si>
  <si>
    <t>完成工程量的80%。</t>
  </si>
  <si>
    <t>三娘湾旅游有限公司</t>
  </si>
  <si>
    <t>2018年获得整体整治岸线海域项目中央补助981.5万元。</t>
  </si>
  <si>
    <t>灵山县畜禽粪污资源化利用整县推进项目</t>
  </si>
  <si>
    <t>完善401家规模养殖场的粪污处理设施改造，建设2个有机肥厂和2个沼气工程。</t>
  </si>
  <si>
    <t>建设养殖场的粪污处理设施及相关沼气工程，以及有机肥厂。</t>
  </si>
  <si>
    <t>灵山县农业农村局</t>
  </si>
  <si>
    <t>2018年获得中央预算内补助1200万元，目前已拨付946万元。</t>
  </si>
  <si>
    <t>灵山县丰收路、丰裕路项目</t>
  </si>
  <si>
    <t>改造宽20-30米道路长2540米，排水4140米，排污4140米，及绿化、亮化等配套设施。</t>
  </si>
  <si>
    <t>完成丰收路建设，丰裕路开工。</t>
  </si>
  <si>
    <t>灵山县城管执法局</t>
  </si>
  <si>
    <t>2018年获得中央预算内补助3000万元，目前已支付完毕</t>
  </si>
  <si>
    <t>浦北县健康食品（龙门）产业园基础设施项目</t>
  </si>
  <si>
    <t>总建筑面积3.2万平方米，建设标准厂房4幢,配套道路5公里。</t>
  </si>
  <si>
    <t>完成园区道路建设，标准厂房主体工程量完成25%。</t>
  </si>
  <si>
    <t>获得2018年自治区乡村振兴产业发展基础设施公共服务能力提升专项资金900万元</t>
  </si>
  <si>
    <t>浦北县禽畜粪污资源化利用项目</t>
  </si>
  <si>
    <t>建设68家规模养殖场粪污处理设施，年产5万吨有机肥。</t>
  </si>
  <si>
    <t>完成总投资的90%。</t>
  </si>
  <si>
    <t>浦北县农业农村局</t>
  </si>
  <si>
    <t>2018年获得中央预算内补助2000万元，目前已拨付1274万元。</t>
  </si>
  <si>
    <t>浦北县教育路</t>
  </si>
  <si>
    <t>全长2837米，宽24米。</t>
  </si>
  <si>
    <t>完成K0+000-K1+200段道路工程。</t>
  </si>
  <si>
    <t>资金缺口4550万元。</t>
  </si>
  <si>
    <t>2018年获得中央预算内补助1000万元，目前已支付完毕。</t>
  </si>
  <si>
    <t>浦北县蕉乡路北延长线</t>
  </si>
  <si>
    <t>全长1650米，宽38米。</t>
  </si>
  <si>
    <t>完成金浦大街至武装部段。</t>
  </si>
  <si>
    <t>1.资金缺口4000万元；
2.用地指标未解决。</t>
  </si>
  <si>
    <t>2018年获得中央预算内补助800万元，目前已支付完毕</t>
  </si>
  <si>
    <t>钦北区王岗山水库工程</t>
  </si>
  <si>
    <t>总库容1755万立方米，建设大坝1座、溢洪道1座、引水隧道1条及铺设管网32.5公里等配套设施。</t>
  </si>
  <si>
    <t>完成溢洪道及引水隧道建设。</t>
  </si>
  <si>
    <t>2018年获得中央预算内补助9000万元，目前已支付4160万元。</t>
  </si>
  <si>
    <t>钦北区2018年新增千亿斤粮食生产能力规划田间工程建设项目</t>
  </si>
  <si>
    <t>新建渠道20公里、田间道路10公里，建设高产稳产田0.93万亩。</t>
  </si>
  <si>
    <t>钦北区农业农村局</t>
  </si>
  <si>
    <t>2018年获得中央预算内补助1100万元，目前已支付100万元。</t>
  </si>
  <si>
    <t>钦州港东航道扩建工程二期</t>
  </si>
  <si>
    <t>将现有的10万吨级单向航道扩建为10万吨级双向集装箱航道，长约15.3公里。</t>
  </si>
  <si>
    <t>实现开工建设，开展疏浚工程。</t>
  </si>
  <si>
    <t>广西北部湾国际港务集团</t>
  </si>
  <si>
    <t>北部湾港口管理局钦州分局、钦州港区管委</t>
  </si>
  <si>
    <t>钦州港金鼓江作业区12#、13#泊位工程</t>
  </si>
  <si>
    <t>建设2个5万吨级化工非危险品散杂货泊位，设计年吞吐能力470万吨。</t>
  </si>
  <si>
    <t>12#泊位开工建设,13#泊位完成功能调整。</t>
  </si>
  <si>
    <t>1.项目功能变更涉及新增1公顷用海预审问题；
2.13#泊位后方灌区初步设计审批问题；
3.岸线调整申报问题。</t>
  </si>
  <si>
    <t>钦州港金鼓江作业区16#、17#泊位</t>
  </si>
  <si>
    <t>建设2个五万吨级液体化工泊
位。</t>
  </si>
  <si>
    <t>完成码头沉箱基槽、回旋水域、停泊水域的开挖，沉箱的预制及安装。</t>
  </si>
  <si>
    <t>1.输油管道安全论证尚未完成；
2.水上水下许可证尚未取得；
3.资金问题。</t>
  </si>
  <si>
    <t>钦州港东航道扩建工程（扩建10万吨级双向航道）一期工程</t>
  </si>
  <si>
    <t>建设10万吨集装箱和10万吨级油船双向航道，长10.76公里，疏浚3334万立方米，炸礁96万立方米。</t>
  </si>
  <si>
    <t>北部湾港口管理局钦州分局</t>
  </si>
  <si>
    <t>钦州港鹰岭作业区
3#、4#泊位工程</t>
  </si>
  <si>
    <t>拆除原万吨级油码头1个，新建2个5万吨级石油及液体化工泊位</t>
  </si>
  <si>
    <t>拆除原万吨级油码头1个，建设3号泊位水工工程。</t>
  </si>
  <si>
    <t>广西广明码头仓储有限公司</t>
  </si>
  <si>
    <t>钦州港大榄坪南作业区3#-5#泊位改造工程</t>
  </si>
  <si>
    <t>将大榄坪南作业区3#-5#泊位原有散杂货堆场改造成专业化集装箱堆场。</t>
  </si>
  <si>
    <t>广西北部湾国际集装箱码头有限公司</t>
  </si>
  <si>
    <t>钦州港金鼓江作业区14#、15#泊位工程</t>
  </si>
  <si>
    <t>岸线全长606米，建设2个5万吨级危险品泊位及后方仓储。</t>
  </si>
  <si>
    <t>根据华谊制定的规划，已经将该泊位纳入其中，开工时间未能明确。</t>
  </si>
  <si>
    <t>钦州港30万吨级进港航道清淤维护工程</t>
  </si>
  <si>
    <t>建设单向航道，全长34.3公里，航道底有效宽度320米，设计水深25米。</t>
  </si>
  <si>
    <t>完成清淤500万方。</t>
  </si>
  <si>
    <t>协调水上水下施工许可批复。</t>
  </si>
  <si>
    <t>已申请入库，待核定</t>
  </si>
  <si>
    <t>钦港支线扩能改造</t>
  </si>
  <si>
    <t>钦州东站普速场股道有效长由650米延长到850米。钦州港站扩建发装卸线5股道，预留5股道。</t>
  </si>
  <si>
    <t>市国土局对项目用地的土规没有调整，致使项目用地没有解决。请市政府协调解决项目用地。</t>
  </si>
  <si>
    <t>广西沿海铁路公司</t>
  </si>
  <si>
    <t>市交通运输局、钦州港区管委</t>
  </si>
  <si>
    <t>市铁建办</t>
  </si>
  <si>
    <t>钦州港集装箱办理站一期工程</t>
  </si>
  <si>
    <t>一期规划占地1182亩，建设港东站作业区、码头作业区和铁路专用线。</t>
  </si>
  <si>
    <t>基本完成港东站作业
区、码头作业区和铁
路专用线建设。</t>
  </si>
  <si>
    <t>一期130亩用海指标尚未落实。</t>
  </si>
  <si>
    <t>市交通运输局、钦州保税港区管委、钦州港区管委</t>
  </si>
  <si>
    <t>南防线南宁至钦州段电气化改造</t>
  </si>
  <si>
    <t>铁路电气化改造，全长100公里。</t>
  </si>
  <si>
    <t>兰州至海口高速公路广西钦州至北海段改扩建工程（钦州段）</t>
  </si>
  <si>
    <t>高速公路，钦州段27公里，宽33.5米。</t>
  </si>
  <si>
    <t>完成路基工程10%、桥涵工程10%。</t>
  </si>
  <si>
    <t>签订征地拆迁工作协议书。解决钦州段项目建设占补平衡问题。</t>
  </si>
  <si>
    <t>广西北部湾投资集团</t>
  </si>
  <si>
    <t>浦北至北流（清湾）高速公路</t>
  </si>
  <si>
    <t>高速公路，钦州段7.8公里</t>
  </si>
  <si>
    <t>钦州市与玉林市签署合作共建框架协议。</t>
  </si>
  <si>
    <t>中交第一航务工程局有限公司</t>
  </si>
  <si>
    <t>灵山沙坪至那丽公路（那彭至那丽段）工程</t>
  </si>
  <si>
    <t>一级公路，全长20.7公里，宽24.5米。</t>
  </si>
  <si>
    <t>完成路基工程40%。</t>
  </si>
  <si>
    <t>1.453亩土地征拆问题；
2.11.3公顷农田报批；
3.建设资金缺口18000万元。</t>
  </si>
  <si>
    <t>钦州市北部湾华侨开发投资有限责任公司</t>
  </si>
  <si>
    <t>北部湾大道至中马钦州产业园区道路工程（园区外段）</t>
  </si>
  <si>
    <t>西起进港公路，东至中马钦州产业园西侧边界，全长3.1公里，宽60米。</t>
  </si>
  <si>
    <t>1标完成全部路基工程、隧道工程、箱涵工程及1#桥梁工程，2标完成所有箱涵及2#桥梁桩基础。</t>
  </si>
  <si>
    <t>Ⅰ标已完成路基工程50%，Ⅱ标已完成127米路床开挖回填施工，箱涵右幅50米底板墙身浇筑。</t>
  </si>
  <si>
    <t>基本农田手续尚未完善、用地未解决，资金尚未落实。</t>
  </si>
  <si>
    <t>1.建设资金缺口15000万元；
2.加快征拆工作。</t>
  </si>
  <si>
    <t>灵山县绕城公路工程</t>
  </si>
  <si>
    <t>一级公路，全长18.6公里，宽24.5米。</t>
  </si>
  <si>
    <t>建设路基、涵洞等工程。</t>
  </si>
  <si>
    <t>加快征地工作。</t>
  </si>
  <si>
    <t>灵山县灵通交通投资开发有限公司</t>
  </si>
  <si>
    <t>横县勒竹至灵山公路（钦州市段）项目</t>
  </si>
  <si>
    <t>二级公路，全长12.8公里，路基宽8.5米，路面宽7.5米。</t>
  </si>
  <si>
    <t>完成主体工程建设。</t>
  </si>
  <si>
    <t>1.用地建设报批须报自治区审批；
2.部分征地未解决。</t>
  </si>
  <si>
    <t>灵山县农村公路改造建设所</t>
  </si>
  <si>
    <t>灵山县烟墩至平南三级公路</t>
  </si>
  <si>
    <t>三级公路，全长12公里，宽7.5米。</t>
  </si>
  <si>
    <t>灵山县县乡公路管理所</t>
  </si>
  <si>
    <t>G359浦北县东绕城公路工程（二期）</t>
  </si>
  <si>
    <t>二级公路,全长3公里,宽12米。</t>
  </si>
  <si>
    <t>1.资金缺口3000万元；
2.用地指标未解决。</t>
  </si>
  <si>
    <t>浦北县龙门镇至平马村公路</t>
  </si>
  <si>
    <t>一级公路，全长16公里，宽24.5米。</t>
  </si>
  <si>
    <t>完成所有路基、桥梁涵洞，路面基层、底基层10公里、路面工程5公里。</t>
  </si>
  <si>
    <t>1.征拆问题；
2.电信线路改迁。</t>
  </si>
  <si>
    <t>浦北县金浦建设投资有限责任公司</t>
  </si>
  <si>
    <t>浦北县六硍经官垌至福旺公路</t>
  </si>
  <si>
    <t>二级公路，全长41.6公里，路面宽度7米,路基宽8.5～12米。</t>
  </si>
  <si>
    <t>完成所有桥梁涵洞,路面基层、底基层30公里、混凝土路面35公里。</t>
  </si>
  <si>
    <t>浦北县北通至五皇山至越州天湖三级公路</t>
  </si>
  <si>
    <t>三级公路，北通至五皇山16公里，五皇山至越州天湖9公里。</t>
  </si>
  <si>
    <t>五皇山至越州天湖段鸡冠村委处供电变压器迁改。</t>
  </si>
  <si>
    <t>浦北县交通运输局</t>
  </si>
  <si>
    <t>钦州至钦州市北部湾华侨投资区公路</t>
  </si>
  <si>
    <t>二级公路，全长26公里，宽12米。</t>
  </si>
  <si>
    <t>完成10公里道路建设。</t>
  </si>
  <si>
    <t>1.沿线乡镇的征地问题；
2.建设资金缺口3000万元。</t>
  </si>
  <si>
    <t>钦南区交通运输局</t>
  </si>
  <si>
    <t>钦南区X286县道至那雾山森林公园公路工程项目（下山路）</t>
  </si>
  <si>
    <t>三级公路，全长7公里，宽7.5米。</t>
  </si>
  <si>
    <t>完成路基工程建设。</t>
  </si>
  <si>
    <t>建设资金缺口2021万元。</t>
  </si>
  <si>
    <t>钦南区2019年20户以上村屯扶贫路</t>
  </si>
  <si>
    <r>
      <rPr>
        <sz val="11"/>
        <rFont val="宋体"/>
        <charset val="134"/>
      </rPr>
      <t>建设村屯扶贫道路，全长2</t>
    </r>
    <r>
      <rPr>
        <sz val="11"/>
        <rFont val="宋体"/>
        <charset val="134"/>
      </rPr>
      <t>5</t>
    </r>
    <r>
      <rPr>
        <sz val="11"/>
        <rFont val="宋体"/>
        <charset val="134"/>
      </rPr>
      <t>公里，宽3.5米。</t>
    </r>
  </si>
  <si>
    <r>
      <rPr>
        <sz val="11"/>
        <rFont val="宋体"/>
        <charset val="134"/>
      </rPr>
      <t>完成2</t>
    </r>
    <r>
      <rPr>
        <sz val="11"/>
        <rFont val="宋体"/>
        <charset val="134"/>
      </rPr>
      <t>5</t>
    </r>
    <r>
      <rPr>
        <sz val="11"/>
        <rFont val="宋体"/>
        <charset val="134"/>
      </rPr>
      <t>公里道路建设。</t>
    </r>
  </si>
  <si>
    <t>钦南区那丽经定蒙至彭新公路工程项目（环山路）</t>
  </si>
  <si>
    <t>四级公路，长23公里，宽5米。</t>
  </si>
  <si>
    <t>完成12公里道路建设。</t>
  </si>
  <si>
    <t>建设资金缺口2065万元。</t>
  </si>
  <si>
    <t>钦北区小董至那蒙二级公路</t>
  </si>
  <si>
    <t>二级公路，全长13.8公里，宽12米。</t>
  </si>
  <si>
    <t>完成全线路基工程。</t>
  </si>
  <si>
    <t>1.建设资金紧缺；
2.用地红线涉及基本农田约10亩。</t>
  </si>
  <si>
    <t>钦北区交通运输局</t>
  </si>
  <si>
    <t>钦北区新棠至大垌二级公路</t>
  </si>
  <si>
    <t>二级公路，全长41公里，宽12米。</t>
  </si>
  <si>
    <t>完成新棠至长滩二级公路建设。</t>
  </si>
  <si>
    <t>钦北区皇马工业园区至钦北进城路口（钦州汽车北站）</t>
  </si>
  <si>
    <t>二级公路，全长8.44公里，宽12米。</t>
  </si>
  <si>
    <t>完成路基建设。</t>
  </si>
  <si>
    <t>1.建设资金紧缺；
2.用地指标及林地变更未落实。</t>
  </si>
  <si>
    <t>钦北区新城至小董二级公路</t>
  </si>
  <si>
    <t>二级公路，全长20公里，宽12米。</t>
  </si>
  <si>
    <t>完成新城到小董段公路建设。</t>
  </si>
  <si>
    <t>大榄江环境综合整治</t>
  </si>
  <si>
    <t>整治范围流域河长约7.7公里，通过截污纳管、内源削减等综合方式方法改善大榄江水质。</t>
  </si>
  <si>
    <t>完成工程量的20%。</t>
  </si>
  <si>
    <t>建设资金缺口5000万元。</t>
  </si>
  <si>
    <t>钦州市餐厨垃圾处理中心项目</t>
  </si>
  <si>
    <t>处理餐厨废弃物规模为150吨/天、处理厨余废弃物规模为100吨/天。</t>
  </si>
  <si>
    <t>1.确定业主；
2.确定建设资金来源渠道；
3.初步选址。</t>
  </si>
  <si>
    <t>市环卫处</t>
  </si>
  <si>
    <t>钦州湾大道（西环路至南北二级路段）升级改造工程</t>
  </si>
  <si>
    <t>对钦州湾大道（西环北路至南北二级路段）长2130米、宽70米道路进行升级改造。</t>
  </si>
  <si>
    <t>钦州城区钦江饮用水水源取水口上移项目</t>
  </si>
  <si>
    <t>取水泵房上移约2.6公里，建设取水泵房、原水管道及进场道路等。</t>
  </si>
  <si>
    <t>完成铺设原输水管道约5公里，取水泵房主体结构及进取水泵房道路路基及过路箱涵。</t>
  </si>
  <si>
    <t>1.水浸垌村用地权属问题及征地款支付问题。
2.水浸垌村至取水泵房段约1300米征地工作。
3.自治区环保厅钦江水源出海前水源监测站办公用房迁移。
4.建设资金缺口6000万元。</t>
  </si>
  <si>
    <t>钦州市河东供水管网工程</t>
  </si>
  <si>
    <t>铺设供水管网135.7公里及建设加压泵站一座。</t>
  </si>
  <si>
    <t>2010-2022</t>
  </si>
  <si>
    <t>铺设供水管网8公里。</t>
  </si>
  <si>
    <t>钦州市沙埠镇供水管网（一期）工程</t>
  </si>
  <si>
    <t>铺设DN225-DN1000供水管道18.3公里,建设加压泵站一座。</t>
  </si>
  <si>
    <t>铺设供水管网1.5公里及建设1座加压泵站。</t>
  </si>
  <si>
    <t>1.建设资金缺口1000万元，
2.需协调高新区管委加快配套道路建设。</t>
  </si>
  <si>
    <t>钦州市城市夜景楼宇亮化改造工程</t>
  </si>
  <si>
    <t>对市行政信息中心、永福东西大街、钦州湾大道、扬帆大道、富民路、兴桂路、蓬莱大道等80栋老化的楼宇亮化设施进行改造。</t>
  </si>
  <si>
    <t>完成80栋楼宇亮化设施改造。</t>
  </si>
  <si>
    <t>市市政工程和照明管理处</t>
  </si>
  <si>
    <t>环城西路西延长线（环城西路南段至钦黄公路）</t>
  </si>
  <si>
    <t>全长1107米，宽60米。</t>
  </si>
  <si>
    <t>建设资金缺口2000万元。</t>
  </si>
  <si>
    <t>乘风大桥（大榄江桥）</t>
  </si>
  <si>
    <t>全长500米，宽50米，其中主桥长252米。</t>
  </si>
  <si>
    <t>建设乘风大道大榄江桥南北侧引道及匝道、桥面沥青砼、绿化、照明、交通等工程。</t>
  </si>
  <si>
    <t>1.加快34户房屋20亩地征拆工作；
2.建设资金缺口3000万元；
3.协调施工单位尽快复工。</t>
  </si>
  <si>
    <t>乘风大道（金海湾西大街以南段）工程</t>
  </si>
  <si>
    <t>全长1364米，宽50米。</t>
  </si>
  <si>
    <t>全线打通金海湾西大街至钦南区人民医院段。</t>
  </si>
  <si>
    <t>1、西沟村委10幢房屋搬迁问题及征拆资金问题。
2、用地指标未落实。
3、资金未落实。</t>
  </si>
  <si>
    <t>环城西路南段（北部湾大道至金海湾西大街）强电管沟工程</t>
  </si>
  <si>
    <t>建设6.4公里强电管沟。</t>
  </si>
  <si>
    <t>完成4公里强电管沟建设。</t>
  </si>
  <si>
    <t>乘风大道(西门街至金海湾西大街)</t>
  </si>
  <si>
    <t>全长606米，宽50米。</t>
  </si>
  <si>
    <t>1.建设资金缺口1000万元，含征拆全部资金缺口3600万元；
2.彭屋沟安置点未开工建设。
3、因工期严重超期，施工单位要求对已施工路段进行完工验收。</t>
  </si>
  <si>
    <t>高新区B1安置回建房</t>
  </si>
  <si>
    <t>总建筑面积19.2万平方米，建设39幢住宅和邻里中心。</t>
  </si>
  <si>
    <t>2011-2020</t>
  </si>
  <si>
    <t>完成三期16#-26#楼建设。</t>
  </si>
  <si>
    <t>1.三期征拆范围内2栋房屋征拆问题；
2.建设资金缺口1000万元。</t>
  </si>
  <si>
    <t>白石湖片区良屋洞棚户区改造项目</t>
  </si>
  <si>
    <t>总建筑面积20.8万平方米，建设住房1003套（天地楼251套，公寓楼752套）及公共配套服务设施。</t>
  </si>
  <si>
    <t>1.建设资金未落实；
2.征拆量较大；
3.原可研批复内容与现行安置政策不符。</t>
  </si>
  <si>
    <t>滨海新城茶山江大街</t>
  </si>
  <si>
    <t>全长2027米，宽40米。</t>
  </si>
  <si>
    <t>完成扬帆南大道至青山大街以西约760米路面工程。</t>
  </si>
  <si>
    <t>征拆款未能支付。</t>
  </si>
  <si>
    <t>滨海新城木棉路</t>
  </si>
  <si>
    <t>全长约1940米，宽30米。</t>
  </si>
  <si>
    <t>建设珊瑚街至平山东大街约280米路面工程。</t>
  </si>
  <si>
    <t>滨海新城望州路（安州大道至扬帆大道）</t>
  </si>
  <si>
    <t>全长1542米，宽40米。</t>
  </si>
  <si>
    <t>1.建设资金缺口1000万元；
2.需重新调整初步设计文本及概算；
3.征拆问题。</t>
  </si>
  <si>
    <t>滨海新城滨海大道（北部湾大道至扬帆大道段）</t>
  </si>
  <si>
    <t>全长3021米，宽46米。</t>
  </si>
  <si>
    <t>完成龙海路至扬帆大道道路建设。</t>
  </si>
  <si>
    <t>1.完成约55亩土地清表；
2.解决36户群众临时过渡安置问题。</t>
  </si>
  <si>
    <t>滨海新城嘉兴街</t>
  </si>
  <si>
    <t>全长3464米，宽40米。</t>
  </si>
  <si>
    <t>完成滨江东路至嘉禾街段道路建设。</t>
  </si>
  <si>
    <t>滨海新城吉安路</t>
  </si>
  <si>
    <t>环湖路至望州路，全长789米，宽50米。</t>
  </si>
  <si>
    <t>开展平山东大街至望州路段道路建设。</t>
  </si>
  <si>
    <t>1.建设资金缺口1000万元；
2.征拆问题。</t>
  </si>
  <si>
    <t>滨海新城祥安路</t>
  </si>
  <si>
    <t>全长2033米，宽40米。</t>
  </si>
  <si>
    <t>钦州市茅尾海国家级海洋公园监测监控管理基地</t>
  </si>
  <si>
    <t>建设600吨级、50吨级执法船泊位、小型执法快艇工作船泊位各1个。</t>
  </si>
  <si>
    <t>完成码头、业务用房、验潮站等建设。</t>
  </si>
  <si>
    <t>需清理蚝桩蚝排。</t>
  </si>
  <si>
    <t>滨海新城珊瑚街</t>
  </si>
  <si>
    <t>西起滨江东路，东至祥安路，全长665米，宽25米。</t>
  </si>
  <si>
    <t>1.两座110KV高压电塔需要迁移；
2.建设资金未落实。</t>
  </si>
  <si>
    <t>灵山县环秀南路延长线道路工程</t>
  </si>
  <si>
    <t>全长3267米，宽50米。</t>
  </si>
  <si>
    <t>灵山县城威龙路道路工程</t>
  </si>
  <si>
    <t>全长1032米，宽40米，其中桥梁（威龙大桥）长224米，宽32米。</t>
  </si>
  <si>
    <t>灵山县宏创城市投资开发有限公司</t>
  </si>
  <si>
    <t>灵山大道南段道路工程</t>
  </si>
  <si>
    <t>全长1414米，宽100米。</t>
  </si>
  <si>
    <t>完成道路水稳层铺设。</t>
  </si>
  <si>
    <t>灵山县钦江大桥至威龙桥段南沿江路道路工程</t>
  </si>
  <si>
    <t>全长2700米，宽30米。</t>
  </si>
  <si>
    <t>灵山县中医医院扩建项目周边市政道路工程</t>
  </si>
  <si>
    <t>全长1979米，宽20-40米。</t>
  </si>
  <si>
    <t>完成道路建设。</t>
  </si>
  <si>
    <t>加快征地拆迁。</t>
  </si>
  <si>
    <t>灵山县开发投资有限公司</t>
  </si>
  <si>
    <t>灵山县大江桥沿江路东项目（碧桂园沿江路）</t>
  </si>
  <si>
    <t>全长2063米，宽30米。</t>
  </si>
  <si>
    <r>
      <rPr>
        <sz val="11"/>
        <rFont val="宋体"/>
        <charset val="134"/>
      </rPr>
      <t>2019</t>
    </r>
    <r>
      <rPr>
        <sz val="11"/>
        <rFont val="宋体"/>
        <charset val="134"/>
      </rPr>
      <t>-2020</t>
    </r>
  </si>
  <si>
    <r>
      <rPr>
        <sz val="11"/>
        <rFont val="宋体"/>
        <charset val="134"/>
      </rPr>
      <t>开展</t>
    </r>
    <r>
      <rPr>
        <sz val="11"/>
        <rFont val="宋体"/>
        <charset val="134"/>
      </rPr>
      <t>道路建设。</t>
    </r>
  </si>
  <si>
    <t>灵山县海岩路北延长线道路工程</t>
  </si>
  <si>
    <t>全长1080米，宽40米。</t>
  </si>
  <si>
    <t>ppp</t>
  </si>
  <si>
    <t>灵山县海岩路南延长线道路工程</t>
  </si>
  <si>
    <t>全长948米，宽40米。</t>
  </si>
  <si>
    <t>灵山县荔香大道由路塘安置区配套设施工程</t>
  </si>
  <si>
    <t>全长1999米，宽12-20米。</t>
  </si>
  <si>
    <t>灵山县马鞍山大道工程（荔香大道三期至城北路段）道路工程</t>
  </si>
  <si>
    <t>全长3775米，其中桥梁长100米，宽51.5米。</t>
  </si>
  <si>
    <t>完成征地，建设主体工程。</t>
  </si>
  <si>
    <t>灵山县城雨污水整治工程（一期）</t>
  </si>
  <si>
    <t>整治体育馆、聚龙湾片区污水，建设污水管道4961米，雨水管道14001米。</t>
  </si>
  <si>
    <t>完成1500米污水管网、3000米雨水管网建设。</t>
  </si>
  <si>
    <t>灵山县荔香大道三期</t>
  </si>
  <si>
    <t>全长2993米，宽50米。</t>
  </si>
  <si>
    <t>完成征地和主体建设。</t>
  </si>
  <si>
    <t>灵山县白云塘一、二、三队安置区路网工程</t>
  </si>
  <si>
    <t>建设安置区内道路共11条，全长2784米。</t>
  </si>
  <si>
    <t>灵山县东边塘安置区项目棚户区改造项目</t>
  </si>
  <si>
    <t>总建筑面积6.3万平方米，建设安置房439套以及相关配套设施。</t>
  </si>
  <si>
    <t>浦北县城引水工程</t>
  </si>
  <si>
    <t>建设引水工程和供水工程，其中引水管长1.65公里，供水管线全长13.5公里。</t>
  </si>
  <si>
    <t>浦北县棚户区改造项目（三期）</t>
  </si>
  <si>
    <t>平六木片区等21个片区棚户区改造，共3200户。</t>
  </si>
  <si>
    <t>完成“北通政府”大院、寨圩子厄、楼屋地、张黄学堂、北河坡安置地。</t>
  </si>
  <si>
    <t>1.部分项目未符合土地规划；
2.用地指标未解决。</t>
  </si>
  <si>
    <t>浦北县管道燃气工程项目</t>
  </si>
  <si>
    <t>建设城区LNG气化站储罐，配套业务用房、气化站控制中心、调压站、中压管网及其他配套设施等。</t>
  </si>
  <si>
    <t>2018-2026</t>
  </si>
  <si>
    <t>完成县城城区LNG气化站站场、办公楼及营业厅的建设，完善县城中压管网的铺设。</t>
  </si>
  <si>
    <t>1.20亩建设用地未完成征地；                                         2.出站管道道路未建设；                                                   3.张黄镇天然气场站工程建设用地的用地指标未落实。</t>
  </si>
  <si>
    <t>浦北县县城绿化及其他配套工程项目</t>
  </si>
  <si>
    <t>建设绿化华侨岭公园和中心公园公园，提升市政道路绿化面积共168亩，道路总长1.64公里。</t>
  </si>
  <si>
    <t>完成中心公园和华侨岭公园。</t>
  </si>
  <si>
    <t>1.中心公园、华侨岭公园部分征地未落实；
2.资金来源未明确。</t>
  </si>
  <si>
    <t>浦北县加油站防渗漏工程改造项目</t>
  </si>
  <si>
    <t>搬迁或扩建51个加油站，以及更换成双层罐防渗池安装油气回收系统等。</t>
  </si>
  <si>
    <t>浦北县商务局</t>
  </si>
  <si>
    <t>浦北县六硍平睦官垌镇污水处理厂</t>
  </si>
  <si>
    <t>建设六硍镇、平睦镇、官垌镇的镇级污水处理厂及配套管网。</t>
  </si>
  <si>
    <t>1.资金缺口；
2.用地指标未解决。</t>
  </si>
  <si>
    <t>钦南区2018年棚户区危旧房改造项目</t>
  </si>
  <si>
    <t>棚户区改造共314套，总建筑面积2.9万平方米。</t>
  </si>
  <si>
    <t>钦南区住房城乡建设局</t>
  </si>
  <si>
    <t>钦北区林湖美地生态景观公园基础建设项目</t>
  </si>
  <si>
    <t>平整场地14万平方米，建设周边林湖美地生态景观公园5万平方米。</t>
  </si>
  <si>
    <t>完成一期土地平整及基础建设。</t>
  </si>
  <si>
    <t>钦北区经济技术开发综合配套基础设施项目</t>
  </si>
  <si>
    <t>用地面积为4.65万平方米，建设电气照明、给排水、道路、广场铺装、绿化等。</t>
  </si>
  <si>
    <t>完成一期土地平整，道路，给排水，广场铺砖，绿化。</t>
  </si>
  <si>
    <t>钦北区棚户区改造项目</t>
  </si>
  <si>
    <t>总建筑面积11.6万平方米，建设安置住宅及相关配套设施。</t>
  </si>
  <si>
    <t>建设5个安置地。</t>
  </si>
  <si>
    <t>1.建设资金紧缺；
2.缺用地指标。</t>
  </si>
  <si>
    <t>钦北区新城九路（高铁桥至新城二路）</t>
  </si>
  <si>
    <t>全长2190米，宽40米。</t>
  </si>
  <si>
    <t>钦北区开发投资有限公司</t>
  </si>
  <si>
    <t>钦北区（皇马）供水扩建改造工程</t>
  </si>
  <si>
    <t>建设近期日供水能力2万吨，远期日供水能力4万吨水厂1座及配套供水管网。</t>
  </si>
  <si>
    <t>钦州港鹰岭作业区疏港道路工程</t>
  </si>
  <si>
    <t>全长8.37公里，其中环北路段全长1.77公里，南港道路北段全长3.1公里，南港道路南段全长3.5公里。</t>
  </si>
  <si>
    <t>完成工程建设部分路基及部分路面改造工程。</t>
  </si>
  <si>
    <t>钦州港新城区城中村改造项目F期工程</t>
  </si>
  <si>
    <t>总建筑面积为12.3万平方米，建设住户408户公寓楼。</t>
  </si>
  <si>
    <t>完成地下室建设。</t>
  </si>
  <si>
    <t>钦州石化产业园公共管廊（二期）工程</t>
  </si>
  <si>
    <t>建设管廊长22.4公里。</t>
  </si>
  <si>
    <t>完成勒沟东大道公共管廊、南港大道公共管廊、中亚科技配套路公共管廊建设。</t>
  </si>
  <si>
    <t>1、加快推进与国投电厂管廊合作解决项目建设资金问题；
2、协调解决跨铁路、跨桥、海域及高压线下地等问题；
3.协调规划调整批复，增加钦州石化产业园公共管廊（二期）工程鹰岭至石化园区段公共管廊。</t>
  </si>
  <si>
    <t>钦州港四川产业园基础设施项目（钦州港大榄坪四号路东侧3.9平方公里滩涂资源整理工程）</t>
  </si>
  <si>
    <t>大榄坪综合物流加工区3.9平方公里滩涂整理、吹填。</t>
  </si>
  <si>
    <t>完成表层填土约60万
方。</t>
  </si>
  <si>
    <t>资金问题。</t>
  </si>
  <si>
    <t>钦州港新城区路网工程（三期）</t>
  </si>
  <si>
    <t>滨海公路改扩建工程（金光大桥至大榄坪四号路）全长4000米，宽60米；大榄坪二号北段（第三大街至第二大街）全长572米，宽68米。</t>
  </si>
  <si>
    <t>道路路基实现部分开挖。外资段2019年6月底前建成。</t>
  </si>
  <si>
    <t>资金约缺口8000万元。</t>
  </si>
  <si>
    <t>钦州港新城区城中村改造项目E期工程</t>
  </si>
  <si>
    <t>总建筑面积6.2万平方米，安置422户。</t>
  </si>
  <si>
    <t>完成住宅楼基础建设。</t>
  </si>
  <si>
    <t>资金缺口1.5亿元。</t>
  </si>
  <si>
    <t>钦州港新城区路网二期工程</t>
  </si>
  <si>
    <t>建设6条道路，长12.8公里。</t>
  </si>
  <si>
    <t>2011-2019</t>
  </si>
  <si>
    <t>钦州港华谊工业气体岛项目配套工程</t>
  </si>
  <si>
    <t>平整土地约1970亩。</t>
  </si>
  <si>
    <t>资金缺口8600万。</t>
  </si>
  <si>
    <t>中马钦州产业园区友谊大道北段（马莱大道-马良路）工程</t>
  </si>
  <si>
    <t>全长1728米，宽60米。</t>
  </si>
  <si>
    <t>实现项目开工，路基土方完成20%</t>
  </si>
  <si>
    <t>广西中马钦州产业园区开发有限公司</t>
  </si>
  <si>
    <t>中马钦州产业园区孔雀湾大道中段（金鼓江东支流北岸-马莱大道）工程</t>
  </si>
  <si>
    <t>全长2619米，宽32-50米。</t>
  </si>
  <si>
    <t>路基完成50%，给排水完成50%。</t>
  </si>
  <si>
    <t>宗海图未出具</t>
  </si>
  <si>
    <t>中马钦州产业园区锦绣大道北段（马莱大道-马良路）工程</t>
  </si>
  <si>
    <t>全长1680米，宽32米。</t>
  </si>
  <si>
    <t>中马钦州产业园区丹寮街（滨江东大道—锦绣大道东）工程</t>
  </si>
  <si>
    <t>全长1396米，宽22米。</t>
  </si>
  <si>
    <t>路基完成70%，给排水完成70%。</t>
  </si>
  <si>
    <t>中马钦州产业园区进口毛燕指定口岸查验区出入道路项目</t>
  </si>
  <si>
    <t>全长638米，宽24米。</t>
  </si>
  <si>
    <t>完成640米道路施工及相关配套建设。</t>
  </si>
  <si>
    <t>中马钦州产业园区特色扶贫小镇</t>
  </si>
  <si>
    <t>总建筑面积146万平方米。</t>
  </si>
  <si>
    <t>EF地块建筑具备入住条件。</t>
  </si>
  <si>
    <t>解决缺项办理施工许可证问题。</t>
  </si>
  <si>
    <t>中马钦州产业园区金鼓江疏港（钦海）大道</t>
  </si>
  <si>
    <t>全长14.4公里，宽60米。</t>
  </si>
  <si>
    <t>南段路基完成50%。</t>
  </si>
  <si>
    <t>项目资金未落实</t>
  </si>
  <si>
    <t>中马钦州产业园区启动区综合配套设施建设项目</t>
  </si>
  <si>
    <t>总建筑面积约18.12万平米。</t>
  </si>
  <si>
    <t>完成主体建设80%。</t>
  </si>
  <si>
    <t>中马钦州产业园区产业公寓南小区</t>
  </si>
  <si>
    <t>总建筑面积约34.58万平方米。</t>
  </si>
  <si>
    <t>3#、4#、16#、17#栋具备入住条件。</t>
  </si>
  <si>
    <t>解决办理工程规划许可证涉及缴纳的市政配套费问题。</t>
  </si>
  <si>
    <t>中马钦州产业园区安置公寓北小区</t>
  </si>
  <si>
    <t>总建筑面积约18.7万平方米。</t>
  </si>
  <si>
    <t>#1-#4栋具备入住条件。</t>
  </si>
  <si>
    <t>中马钦州产业园区孔雀湾生态保护及岸线治理一期（一、二号区域）</t>
  </si>
  <si>
    <t>占地约1200亩，建设道路、绿化等。</t>
  </si>
  <si>
    <t>完成广场、栈桥、水闸、喷泉、绿化等建设。</t>
  </si>
  <si>
    <t>1.股东出资不到位、公司建设资本金不足；
2.项目水土保持补偿费问题。</t>
  </si>
  <si>
    <t>中马钦州产业园区锦绣大道中段（启动区—马莱大道）工程</t>
  </si>
  <si>
    <t>全长2256米，宽50米。</t>
  </si>
  <si>
    <t>完成路基及80%路面。</t>
  </si>
  <si>
    <t>1.k1+500至k1＋600东侧两块水田征地问题。
2.k2+200东侧平交路口及k2＋000西侧征地问题。</t>
  </si>
  <si>
    <t>中马建议年度计划投资改为5395万元。</t>
  </si>
  <si>
    <t>中马钦州产业园区北斗产业园（一期）</t>
  </si>
  <si>
    <t>总建筑面积7.8万平方米，建设研发办公楼一栋。</t>
  </si>
  <si>
    <t>完成主体结构建设。</t>
  </si>
  <si>
    <t>中国—马来西亚钦州产业园燕窝加工贸易基地布管配套设施</t>
  </si>
  <si>
    <t>总建筑面积8万平方米,建设GMP装修、燕商装修及生产设备。</t>
  </si>
  <si>
    <t>完成2层厂房装修。</t>
  </si>
  <si>
    <t>尽快完成公司重组。</t>
  </si>
  <si>
    <t>中马钦州产业园区丹二路（马莱大道—东五街）工程</t>
  </si>
  <si>
    <t>全长1668米，宽22米。</t>
  </si>
  <si>
    <t>完成路基及60%路面。</t>
  </si>
  <si>
    <t>丹二路及东二街与扶贫小镇交叉施工区域场地需协调。</t>
  </si>
  <si>
    <t>中马钦州产业园区金谷大街东段（锦绣大道—孔雀湾大道）工程</t>
  </si>
  <si>
    <t>全长920米，宽45米。</t>
  </si>
  <si>
    <t>K1+010至标尾丹廖村征地拆迁问题。</t>
  </si>
  <si>
    <t>中马建议年度计划投资改为1859万元。</t>
  </si>
  <si>
    <t>中马钦州产业园区米龙街（孔雀湾大道—锦绣大道东）工程</t>
  </si>
  <si>
    <t>全长1164米，宽32米。</t>
  </si>
  <si>
    <t>完成路基及90%路面。</t>
  </si>
  <si>
    <t>中马钦州产业园区友谊大道中段工程</t>
  </si>
  <si>
    <t>全长2611米，宽60米。</t>
  </si>
  <si>
    <t>1.钢筋加工棚未拆除移出项目施工场地；
2.友谊大道中段标尾2处民房征收问题。</t>
  </si>
  <si>
    <t>中马钦州产业园区云顶大街东段（六钦高速连接线—孔雀湾大道）工程</t>
  </si>
  <si>
    <t>全长1304米，宽45米。</t>
  </si>
  <si>
    <t>中马钦州产业园区东一街（孔雀湾大道—锦绣大道）工程</t>
  </si>
  <si>
    <t>全长1187米，宽22米。</t>
  </si>
  <si>
    <t>东一街K0+000-K0+415山地及池塘征拆问题。</t>
  </si>
  <si>
    <t>高新区东泉街</t>
  </si>
  <si>
    <t>蓬莱大道至绿州路段，全长1100米，宽30米。</t>
  </si>
  <si>
    <t>2011-2022</t>
  </si>
  <si>
    <t>完成蓬莱大道至金州路段箱涵建设。</t>
  </si>
  <si>
    <t>1.项目范围内的25亩土地及2栋房屋的征收工作；
2.建设资金缺口1700万元。</t>
  </si>
  <si>
    <t>钦州市北部湾华侨投资区供水、污水项目</t>
  </si>
  <si>
    <t>建设3万m³/d取水泵房1座、0.5万m³/d供水厂1座，0.3万m³/d污水厂1座及相关配套设施。</t>
  </si>
  <si>
    <t>完成场地平整、主体构筑物基础工程、管网敷设2公里。</t>
  </si>
  <si>
    <t>前期工作经费缺口约250万元。</t>
  </si>
  <si>
    <t>灵山县十里电子信息产业园道路工程</t>
  </si>
  <si>
    <t>全长5000米，宽24-40米。</t>
  </si>
  <si>
    <t>灵山县工业区投资开发有限公司</t>
  </si>
  <si>
    <t>灵山县十里工业园至檀圩道路扩建工程</t>
  </si>
  <si>
    <t>全长4038米，宽25.5米。</t>
  </si>
  <si>
    <t>灵山县陆屋临港产业园区纬二路建设项目</t>
  </si>
  <si>
    <t>全长2700米，宽24米。</t>
  </si>
  <si>
    <t>灵山县电子信息产业园安置区（一期）项目配套设施工程</t>
  </si>
  <si>
    <t>全长3025米，宽12-20米。</t>
  </si>
  <si>
    <t>灵山县循环经济产业园污水处理厂项目</t>
  </si>
  <si>
    <t>建设日处理500方、5000方污水处理厂各一座，尾水提升泵站一座，污水管1.7公里、雨水管419米、尾水提升管10公里，配套门字出水口一座。</t>
  </si>
  <si>
    <t>完成日处理500方小型污水厂及配套排污管网建设。</t>
  </si>
  <si>
    <t>灵山县工业和信息化局</t>
  </si>
  <si>
    <t>灵山县陆屋临港产业园污水处理厂项目</t>
  </si>
  <si>
    <t>新建日处理3000方污水处理厂一座，配套建设污水管网8.85公里，一体化提升泵站一座，压力管350米。</t>
  </si>
  <si>
    <t>浦北县福旺产业园标准厂房及路网配套设施项目</t>
  </si>
  <si>
    <t>建设标准厂房3.2万平方米，园区道路4.1公里以及相关配套设施。</t>
  </si>
  <si>
    <t>完成园区道路1公里，标准厂房主体工程量50%建设。</t>
  </si>
  <si>
    <t>1.资金缺口3000万元；
2.用地指标未落实。</t>
  </si>
  <si>
    <t>浦北县泉水工业园至炮滩坡道路及二期工程</t>
  </si>
  <si>
    <t>全长4611米，宽24米。</t>
  </si>
  <si>
    <t>计划完成道路的50%。</t>
  </si>
  <si>
    <t>用地指标未解决。</t>
  </si>
  <si>
    <t>浦北县城工业区路网工程</t>
  </si>
  <si>
    <t>全长8442米，宽12-30米。</t>
  </si>
  <si>
    <t>完成横一、二、三路（蕉乡至桃园路西侧）道路铺设。</t>
  </si>
  <si>
    <t>浦北县工业区管理委员会</t>
  </si>
  <si>
    <t>浦北县泉水工业区路网工程</t>
  </si>
  <si>
    <t>全长12公里，宽12-30米。</t>
  </si>
  <si>
    <t>完成2000米园区道路及配套设施建设。</t>
  </si>
  <si>
    <t>浦北县第三期整县推进高标准基本农田土地整治重大工程</t>
  </si>
  <si>
    <t>总用地规模8209公顷，在安石镇、白石水镇、张黄镇、大成镇、福旺镇、平睦镇、北通镇、三合镇、石埇镇等建成高标准基本农田6383公顷。</t>
  </si>
  <si>
    <t>浦北县自然资源局</t>
  </si>
  <si>
    <t>钦南区金窝工业园园区道路工程</t>
  </si>
  <si>
    <t>建设凤凰支路、凤凰路、高薪街、秀英路4条道路，全长7096米，宽20-40米。</t>
  </si>
  <si>
    <t>完成4110米道路建设。</t>
  </si>
  <si>
    <t>建设资金缺口3000万元。</t>
  </si>
  <si>
    <t>钦州市钦南区城发建设投资有限公司</t>
  </si>
  <si>
    <t>钦南区大岭围海堤标准化建设工程</t>
  </si>
  <si>
    <t>按20年一遇防御标准加固堤长5.76公里。</t>
  </si>
  <si>
    <t>开工建设海堤长2公
里。</t>
  </si>
  <si>
    <t>1.协调解决海堤用海、用林、用地问题。
2.建设资金缺口2000万元。</t>
  </si>
  <si>
    <t>钦南区海河堤管理站</t>
  </si>
  <si>
    <t>钦南区犁头嘴海堤加固工程</t>
  </si>
  <si>
    <t>建设20年一遇标准海堤15.7公里。</t>
  </si>
  <si>
    <t>完成2公里建设。</t>
  </si>
  <si>
    <t>钦南区团和围海堤标准化建设工程</t>
  </si>
  <si>
    <t>建设20年一遇防潮标准建设标准海堤11.8公里。</t>
  </si>
  <si>
    <t>建设资金缺口1218万元。</t>
  </si>
  <si>
    <t>钦南区水利局</t>
  </si>
  <si>
    <t>钦北经济技术开发区基础设施（一期）建设项目</t>
  </si>
  <si>
    <t>全长14.8公里，宽20-40米。</t>
  </si>
  <si>
    <t>2019-2026</t>
  </si>
  <si>
    <t>完成部分道路建设。</t>
  </si>
  <si>
    <t>1.缺450亩用地指标；
2.建设资金紧缺。</t>
  </si>
  <si>
    <t>钦北区城乡建设用地增减挂钩项目</t>
  </si>
  <si>
    <t>完成大寺、贵台等11个乡镇农村居民点、工矿废弃地的增减挂钩潜力地块的复垦，复垦立项面积1.78万亩。</t>
  </si>
  <si>
    <t>完成复垦面积9600亩。</t>
  </si>
  <si>
    <t>钦北区固废处置中心一期工程</t>
  </si>
  <si>
    <t>日处理固废量80吨。</t>
  </si>
  <si>
    <t>1.缺15亩用地指标；
2.建设资金紧缺。</t>
  </si>
  <si>
    <t>钦北区皇马工业园区管理委员会</t>
  </si>
  <si>
    <t>钦北区小董镇防洪整治工程（镇区二期）</t>
  </si>
  <si>
    <t>按照10年一遇防洪标准治理河长约4公里，新建护岸总长5.3公里。</t>
  </si>
  <si>
    <t>完成约2公里护岸、7座下河步级、1座排涝涵建设建设。</t>
  </si>
  <si>
    <t>钦北区水利水电工程管理站</t>
  </si>
  <si>
    <t>钦北区综合供水工程-给水管网工程</t>
  </si>
  <si>
    <t>铺设给水管道约111公里，建设加压泵房1座。</t>
  </si>
  <si>
    <t>完成给水管网30公里的铺设。</t>
  </si>
  <si>
    <t>钦北区污水管网项目</t>
  </si>
  <si>
    <t>铺设污水管网31.8公里。</t>
  </si>
  <si>
    <t>完成污水管网15公里的铺设。</t>
  </si>
  <si>
    <t>钦北区皇马工业园区绿化、亮化工程</t>
  </si>
  <si>
    <t>完善皇马工业园绿化、亮化。</t>
  </si>
  <si>
    <t>钦北区皇马二十四路延长线道路工程</t>
  </si>
  <si>
    <t>全长1743米，宽30米。</t>
  </si>
  <si>
    <t>1.建设资金紧缺；
2.用地问题涉及林湖公园。</t>
  </si>
  <si>
    <t>钦北区皇马二十路（325国道至皇马五路）道路工程</t>
  </si>
  <si>
    <t>全长916米，宽36米。</t>
  </si>
  <si>
    <t>钦北区大寺镇屯妙村、长滩镇、那蒙镇土地整理项目</t>
  </si>
  <si>
    <t>建设沟渠、田间道路、土地平整工程、土壤培肥以及其他附属工程。</t>
  </si>
  <si>
    <t>钦北区大寺江大寺镇区防洪整治工程</t>
  </si>
  <si>
    <t>防洪标准为10年一遇治理河长2.6公里，新建防洪堤总长1.7公里，新建护岸长2.6公里。</t>
  </si>
  <si>
    <t>钦北区水利局</t>
  </si>
  <si>
    <t>钦北区大直河大直镇防洪整治工程</t>
  </si>
  <si>
    <t>防洪标准为10年一遇治理河长3.8公里，新建防洪堤总长1.2公里，新建护岸长2.2公里。</t>
  </si>
  <si>
    <t>钦州市沿海工业园供水水源项目郁江调水工程</t>
  </si>
  <si>
    <t>建设引水隧洞4.6公里，沙坪河疏浚5.5公里，小西江疏浚1公里，那庆河引水工程6.6公里。</t>
  </si>
  <si>
    <t>引水隧洞工程开挖2.5公里，全线贯通隧洞工程。</t>
  </si>
  <si>
    <t>1.弃渣场林地使用及林业砍伐手续的办理。
2.沙坪河疏浚2#临时码头至1#、3#、4#弃渣场道路需占用当地村里部分混凝土道路。
3.久隆段引水明渠穿越钦陆一级公路、天然气管道、通讯光缆审批手续办理。
4.久隆段原已征的1#、2#弃渣场靠近钦江属于水源保护区无法使用。</t>
  </si>
  <si>
    <t>广西钦州丰源水利供水有限公司</t>
  </si>
  <si>
    <t>市水利局</t>
  </si>
  <si>
    <t>钦州港华谊能源化工有限公司工业气体岛外部供电工程</t>
  </si>
  <si>
    <t>新建220kV线路18公里。</t>
  </si>
  <si>
    <t>1.加快配套道路建设；
2.明确架空、管沟、电缆等部分出资方。</t>
  </si>
  <si>
    <t>钦州供电局</t>
  </si>
  <si>
    <t>中马钦州产业园区110kV孔雀湾送变电工程</t>
  </si>
  <si>
    <t>建设主变容量6.3万kVA，110kV线路9公里。</t>
  </si>
  <si>
    <t>变电站投运，线路完成架线。</t>
  </si>
  <si>
    <t>1.新站址坐标、用地预审未批复；
2.新站址场地未平整。</t>
  </si>
  <si>
    <t>中马钦州产业园区协鑫天然气分布式能源项目110kV送出工程</t>
  </si>
  <si>
    <t>建设110kV线路21公里。</t>
  </si>
  <si>
    <t>线路施工完成75%，通信施工完成75%。</t>
  </si>
  <si>
    <t>1.32号杆塔征地问题；
2.48-51号杆塔段临时施工道路建设受阻。</t>
  </si>
  <si>
    <t>钦州港独连车（虾港）110kV送变电工程</t>
  </si>
  <si>
    <t>新建主变容量5万kVA，110kV线路17公里。</t>
  </si>
  <si>
    <t>2014-2019</t>
  </si>
  <si>
    <t>1.杆塔基础施工受阻；
2.犀牛脚至大番坡两机塔存在征地问题；
3.工业园道路部分塔位标高不符合施工条件。</t>
  </si>
  <si>
    <t>灵山县2019年35kV及以下农村配电网项目</t>
  </si>
  <si>
    <t>新建10kV配变122台，10kV线路166公里。</t>
  </si>
  <si>
    <t>1.线路施工受阻；
2.路径青苗赔偿难度大。</t>
  </si>
  <si>
    <t>灵山县2018年35kV及以下农村配电网项目</t>
  </si>
  <si>
    <t>建设35kV送变电工程1个，变电增容1个。改造（新建）10KV线路142公里，改造（新建）400V线路79公里，配变约307台。</t>
  </si>
  <si>
    <t>灵山县荔香（三多）110kV送变电工程</t>
  </si>
  <si>
    <t>建设主变容量5万kVA，110kV线路12公里。</t>
  </si>
  <si>
    <t>2013-2019</t>
  </si>
  <si>
    <t>灵山县市政荔香大道电缆管沟未开工建设。</t>
  </si>
  <si>
    <t>浦北县2019年35kV及以下农村配电网项目</t>
  </si>
  <si>
    <t>建设35kV送变电工程1个，变电增容3个；新建10kV配变254台，10kV线路68公里。</t>
  </si>
  <si>
    <t>完成工程量70%。</t>
  </si>
  <si>
    <t>1.变电站征地；
2.10kv线路通道处理。</t>
  </si>
  <si>
    <t>浦北县官垌（万坡）110kV送变电工程</t>
  </si>
  <si>
    <t>建设主变容量4万kVA，110kV线路6公里。</t>
  </si>
  <si>
    <t>1.2丘坟未迁移；
2.35千伏线路迁移涉及青苗赔偿。</t>
  </si>
  <si>
    <t>浦北县2018年35kV及以下农村配电网项目</t>
  </si>
  <si>
    <t>建设35kV送变电工程1个，变电增容3个；10kV新建配变84台，新建10kV线路179.6公里，新建改造0.4kV线路675.3公里。</t>
  </si>
  <si>
    <t>钦州新区2019年35kV及以下农村配电网项目</t>
  </si>
  <si>
    <t>建设35kV送变电工程1个，10kV新建配变203台，新建10kV线路176公里。</t>
  </si>
  <si>
    <t>建成投产35kV送变电工程1座，10kV线路122公里，配变145台，容量28350kVA。</t>
  </si>
  <si>
    <t>配套道路秀英路未建成，影响项目建设。</t>
  </si>
  <si>
    <t>钦南区、钦北区人民政府</t>
  </si>
  <si>
    <t>钦州新区2018年35kV及以下农村配电网项目</t>
  </si>
  <si>
    <t>建设35kV送变电工程1个，变电增容3个；建设10kV线路159公里，配变约55台。</t>
  </si>
  <si>
    <t>钦州市区2019年10kV及以下城市配电网项目</t>
  </si>
  <si>
    <t>建设线路45公里,配变约61台。</t>
  </si>
  <si>
    <t>建成投产10kV线路29公里，配变24台，容量6918kVA。</t>
  </si>
  <si>
    <t>1.线路施工受阻；
2.路径批复难度大。</t>
  </si>
  <si>
    <t>钦州新区供电局黄屋屯供电技术业务用房</t>
  </si>
  <si>
    <t>总建筑面积8021平方米，建设技术业务用房、警传室、巡检中心、物资仓库以及相关配套设施。</t>
  </si>
  <si>
    <t>完成技术业务用房主体建设。</t>
  </si>
  <si>
    <t>钦州新区供电局犀牛脚供电技术业务用房</t>
  </si>
  <si>
    <t>总建筑面积2560平方米，主要建设技术业务用房、警传室以及相关配套设施。</t>
  </si>
  <si>
    <t>钦州供电局那丽供电所技术业务用房项目</t>
  </si>
  <si>
    <t>总建筑面积2128.5平方米，主要建设1幢5层技术业务用房及相关配套基础设。</t>
  </si>
  <si>
    <t>钦南区公园（西营）送变电工程</t>
  </si>
  <si>
    <t>建设主变容量5万kVA，110kV线路13.9公里。</t>
  </si>
  <si>
    <t>广场到公园线路因市政建设未完成。</t>
  </si>
  <si>
    <t>钦南区110kV丽光（那丽）送变电工程</t>
  </si>
  <si>
    <t>建设主变容量5万kVA，110kV线路45公里。</t>
  </si>
  <si>
    <t>油路至丽光110千伏线路工程征地青苗赔偿受阻。</t>
  </si>
  <si>
    <t>钦北区110kV彭良（朱林）送变电工程</t>
  </si>
  <si>
    <t>新建主变容量5万kVA，110kV线路47公里。</t>
  </si>
  <si>
    <t>站址征地受阻。</t>
  </si>
  <si>
    <t>广西沿海铁路南防线电气化改造外部供电工程（小董牵引站）</t>
  </si>
  <si>
    <t>建设110kV线路19公里。</t>
  </si>
  <si>
    <t>青苗赔偿洽谈阻力大。</t>
  </si>
  <si>
    <t>钦州港三墩岛30万吨级原油码头管道项目</t>
  </si>
  <si>
    <t>建设管道长18公里。</t>
  </si>
  <si>
    <t>中国石油广西石化公司</t>
  </si>
  <si>
    <t>钦州保税港区7-8#泊位自动化集装箱改造工程</t>
  </si>
  <si>
    <t>将原有泊位陆域纵深距码头前沿线50米至769米范围内的散杂货堆场改造成专业化半自动集装箱堆场。</t>
  </si>
  <si>
    <t>北部湾港钦州码头有限公司</t>
  </si>
  <si>
    <t>钦州保税港区6#泊位集装箱堆场改造</t>
  </si>
  <si>
    <t>改造6#泊位后方15万平方米堆场，购置龙门吊等设备。</t>
  </si>
  <si>
    <t>开展堆场改造。</t>
  </si>
  <si>
    <t>钦州保税港区中石油国际储备库项目安全隐患治理工程</t>
  </si>
  <si>
    <t>新建隔堤及进行库区储罐、走梯防腐。</t>
  </si>
  <si>
    <t>完成储罐和走梯防腐。</t>
  </si>
  <si>
    <t>广西中石油储备油有限公司</t>
  </si>
  <si>
    <t>中马钦州产业园区金鼓江区域综合整治开发</t>
  </si>
  <si>
    <t>开发面积15平方公里，包括土地平整、金鼓江水域及岸线综合生态整治、市政基础设施及公共服务设施建设。</t>
  </si>
  <si>
    <t>2018-2023</t>
  </si>
  <si>
    <t>完成疏港（钦海）大道片区范围内路段建设。</t>
  </si>
  <si>
    <t>1.尽快按照建设计划完成钦海大道、中四路、云顶大街等征地范围的净地交付；  2.协助推进用海事宜。</t>
  </si>
  <si>
    <t>中交城投建设有限公司</t>
  </si>
  <si>
    <t>中马建议年度投资由5.3亿元改成2亿元。</t>
  </si>
  <si>
    <t>滨海新城地下综合管廊（菩提路段）</t>
  </si>
  <si>
    <t>全长约1545米。</t>
  </si>
  <si>
    <t>完成嘉兴街至平山东大街段主体工程、安装工程。</t>
  </si>
  <si>
    <t>1.未完成清表；
2.建设资金缺口4500万元；
3.自然资源部门无法出具用地规模说明。</t>
  </si>
  <si>
    <t>滨海新城嘉兴街（扬帆南-安州大道段）地下综合管廊</t>
  </si>
  <si>
    <t>全长约1961米。</t>
  </si>
  <si>
    <t>完成管廊建设0.8公
里。</t>
  </si>
  <si>
    <t>1.建设资金缺口4000万元；
2.征拆工作尚未开展。</t>
  </si>
  <si>
    <t>灵山县城区污水处理厂新圩镇片区污水管网工程</t>
  </si>
  <si>
    <t>建设污水收集输送管网14.68公里及污水检查井、污泥井等附属设施。</t>
  </si>
  <si>
    <t>灵山县城区污水处理厂</t>
  </si>
  <si>
    <t>浦北县寨圩工业区标准工业厂房建设项目</t>
  </si>
  <si>
    <t>建设可供20个以上中小企业进驻生产的标准工业厂房。</t>
  </si>
  <si>
    <t>完成两栋厂房建设。</t>
  </si>
  <si>
    <t>广州市健展物业管理有限公司</t>
  </si>
  <si>
    <t>浦北县张黄糖厂棚户区改造项目</t>
  </si>
  <si>
    <t>总建筑面积5.5万平方米，改造糖厂棚户区366户及配套基础设施。</t>
  </si>
  <si>
    <t>浦北县张黄糖厂</t>
  </si>
  <si>
    <t>钦北区经济技术开发区综合配套项目</t>
  </si>
  <si>
    <t>总建筑面积154.62万平方米，建设民俗风情街，文化广场、民族会馆、旅游服务中心等。</t>
  </si>
  <si>
    <t>完成游客服务大楼建
设。</t>
  </si>
  <si>
    <t>待321亩用地指标批复。</t>
  </si>
  <si>
    <t>广西钦州华粤实业投资有限公司</t>
  </si>
  <si>
    <t>钦北区北部湾中医药和健康产业园基础设施建设项目（一期）</t>
  </si>
  <si>
    <t>建设标准厂房19.5万平方米，配套道路1.6公里。</t>
  </si>
  <si>
    <t>完成约4万平方米标准厂房建设。</t>
  </si>
  <si>
    <r>
      <rPr>
        <sz val="24"/>
        <rFont val="方正黑体_GBK"/>
        <charset val="134"/>
      </rPr>
      <t>附件</t>
    </r>
    <r>
      <rPr>
        <sz val="24"/>
        <rFont val="Times New Roman"/>
        <charset val="134"/>
      </rPr>
      <t>3</t>
    </r>
  </si>
  <si>
    <t>钦州市2019年总投资1000万元以上重点建设项目责任表（民生保障类项目）</t>
  </si>
  <si>
    <t>序号</t>
  </si>
  <si>
    <t>项目名称</t>
  </si>
  <si>
    <t>建设性质</t>
  </si>
  <si>
    <t>主要建设内容及规模</t>
  </si>
  <si>
    <t>建设起止年限</t>
  </si>
  <si>
    <t>总投资</t>
  </si>
  <si>
    <t>到2018年底累计完成投资</t>
  </si>
  <si>
    <t>2019年重点建设任务</t>
  </si>
  <si>
    <t>项目业主或前期工作责任单位</t>
  </si>
  <si>
    <t>责任单位</t>
  </si>
  <si>
    <t>计划开工（竣工）时间</t>
  </si>
  <si>
    <t>一季度计划投资</t>
  </si>
  <si>
    <t>上半年计划投资</t>
  </si>
  <si>
    <t>前三季度计划投资</t>
  </si>
  <si>
    <t>年度计划投资</t>
  </si>
  <si>
    <t>年度建设目标</t>
  </si>
  <si>
    <t>钦州学院科技综合大楼项目</t>
  </si>
  <si>
    <t>总建筑面积5.65万平方米，共十二层，建筑总高49.5米。</t>
  </si>
  <si>
    <t>完成主体封顶，装修完成80%。</t>
  </si>
  <si>
    <t>项目包含教学仪器设备，目前资金缺口13000万元。</t>
  </si>
  <si>
    <t>北部湾大学</t>
  </si>
  <si>
    <t>2018年获得中央预算内补助4000万元，目前已支付2964.1万元。</t>
  </si>
  <si>
    <t>灵山县红十字会医院整体搬迁医疗区建设项目</t>
  </si>
  <si>
    <t>总建筑面积5.75万平方米，建设住院综合楼、门诊综合楼，医技楼、公共卫生医技综合楼等。</t>
  </si>
  <si>
    <t>1.约133亩的土地指标未落实；
2.项目启动资金不足；
3.约5户5亩的拆迁工作未完成。</t>
  </si>
  <si>
    <t>灵山县红十字会医院</t>
  </si>
  <si>
    <t>2019年获得中央预算内补助5000万元。</t>
  </si>
  <si>
    <t>灵山县医养结合老年服务中心</t>
  </si>
  <si>
    <t>总建筑面积3.14万平方米，建设两栋7层医养结合老年服务大楼，地下室及配套设施。</t>
  </si>
  <si>
    <t>完成基础建设。</t>
  </si>
  <si>
    <t>2019年获得中央预算内补助1584万元。</t>
  </si>
  <si>
    <t>灵山县2018年义务教育学校建设项目</t>
  </si>
  <si>
    <t>新建校舍5.6万平方米及附属工程。</t>
  </si>
  <si>
    <t>完成工程量90%。</t>
  </si>
  <si>
    <t>灵山县教育局</t>
  </si>
  <si>
    <t>2018年农村中小学校舍维修改造项目资金（中央补助1480万元，自治区补助888万元，县级配套592）；2018年农村义务教育薄弱学校改造项目（自治区补助5124万元，县级配套2010万元）</t>
  </si>
  <si>
    <t>灵山县疾病预防控制中心迁建项目</t>
  </si>
  <si>
    <t>总建筑面积7380平方米，建设综合业务楼一栋及相关配套设施。</t>
  </si>
  <si>
    <t>灵山县疾病预防控制中心</t>
  </si>
  <si>
    <r>
      <rPr>
        <sz val="11"/>
        <rFont val="宋体"/>
        <charset val="134"/>
      </rPr>
      <t>2018年获中央预算内补助600万元。</t>
    </r>
    <r>
      <rPr>
        <sz val="11"/>
        <rFont val="宋体"/>
        <charset val="134"/>
      </rPr>
      <t>2019</t>
    </r>
    <r>
      <rPr>
        <sz val="11"/>
        <rFont val="宋体"/>
        <charset val="134"/>
      </rPr>
      <t>年自治区财政基层医疗卫生机构能力建设行动计划项目补助资金（第二批）</t>
    </r>
    <r>
      <rPr>
        <sz val="11"/>
        <rFont val="宋体"/>
        <charset val="134"/>
      </rPr>
      <t>120</t>
    </r>
    <r>
      <rPr>
        <sz val="11"/>
        <rFont val="宋体"/>
        <charset val="134"/>
      </rPr>
      <t>万元。</t>
    </r>
  </si>
  <si>
    <t>浦北县2018年第一批农村义务教育薄弱学校改造项目</t>
  </si>
  <si>
    <r>
      <rPr>
        <sz val="11"/>
        <rFont val="宋体"/>
        <charset val="134"/>
      </rPr>
      <t>总建筑面积3.2万平方米，建设教学综合楼、食堂、学生宿舍楼等</t>
    </r>
    <r>
      <rPr>
        <sz val="11"/>
        <rFont val="宋体"/>
        <charset val="134"/>
      </rPr>
      <t>,</t>
    </r>
    <r>
      <rPr>
        <sz val="11"/>
        <rFont val="宋体"/>
        <charset val="134"/>
      </rPr>
      <t>以及购置一批教学设备。</t>
    </r>
  </si>
  <si>
    <t>完成项目建设及设备采购。</t>
  </si>
  <si>
    <t>浦北县教育局</t>
  </si>
  <si>
    <t>获2018年农村义务教育薄弱学校改造计划资金9045万元。</t>
  </si>
  <si>
    <t>浦北县中医医院综合大楼建设项目</t>
  </si>
  <si>
    <t>总建筑面积2.2万平方米，设置床位239张。</t>
  </si>
  <si>
    <r>
      <rPr>
        <sz val="11"/>
        <rFont val="宋体"/>
        <charset val="134"/>
      </rPr>
      <t>完成2#主体工程建设</t>
    </r>
    <r>
      <rPr>
        <sz val="11"/>
        <rFont val="宋体"/>
        <charset val="134"/>
      </rPr>
      <t>,</t>
    </r>
    <r>
      <rPr>
        <sz val="11"/>
        <rFont val="宋体"/>
        <charset val="134"/>
      </rPr>
      <t>1#完成竣工验收。</t>
    </r>
  </si>
  <si>
    <t>资金缺口3000万元。</t>
  </si>
  <si>
    <t>2018年获得中央预算内补助5000万元。</t>
  </si>
  <si>
    <t>浦北县妇幼保健院整体搬迁项目</t>
  </si>
  <si>
    <t>总建筑面积1.8万平方米，建设门诊住院综合楼一栋及相关配套用房。</t>
  </si>
  <si>
    <t>1.医院大门道路未开工建设；
2.项目6亩用地未解决。</t>
  </si>
  <si>
    <t>浦北县土地储备中心</t>
  </si>
  <si>
    <t>2017年获得中央预算内补助1200万元，目前已支付完毕。已获得2018年自治区财政基层医疗卫生机构能力建设行动计划项目补助资金240万元；另有500万元政府债券。</t>
  </si>
  <si>
    <t>钦北区公共实训基地项目</t>
  </si>
  <si>
    <t>总建筑面积1.03万平方米，建设公共实训基地综合楼、门卫室、训练场及相关配套设施。</t>
  </si>
  <si>
    <t>完成主体框架建设。</t>
  </si>
  <si>
    <t>申请上级专项补助资金。</t>
  </si>
  <si>
    <t>获得2018年乡村振兴发展补助资全1000万元。</t>
  </si>
  <si>
    <t>钦州市委党校迁建工程一期</t>
  </si>
  <si>
    <t>总建筑面积2.4万平方米，建设四栋主体。</t>
  </si>
  <si>
    <t>建设资金缺口2600万</t>
  </si>
  <si>
    <t>市委党校</t>
  </si>
  <si>
    <t>市委党校、市滨海新城管委</t>
  </si>
  <si>
    <t>滨海新城茶山江小学</t>
  </si>
  <si>
    <t>建设校舍建筑面积9180平方米，设30个教学班，容纳学生1350名。</t>
  </si>
  <si>
    <t>完成配套设施建设。</t>
  </si>
  <si>
    <t>后续建设资金不足。</t>
  </si>
  <si>
    <t>灵山县委党校迁建项目</t>
  </si>
  <si>
    <t>总建筑面积4万平方米，建设教学楼、学员宿舍楼及相关配套设施。</t>
  </si>
  <si>
    <t>已完成项目立项、总平面设计。</t>
  </si>
  <si>
    <t>土地征收补偿未能及时发放到农户手中，项目资金没有到位。</t>
  </si>
  <si>
    <t>土地征收尚未完成。</t>
  </si>
  <si>
    <t>灵山县老年大学项目</t>
  </si>
  <si>
    <t>总建筑面积4508平方米，建设一栋4层综合楼，包括普通教室及配套服务设施。</t>
  </si>
  <si>
    <t>灵山县教育新区项目</t>
  </si>
  <si>
    <t>总建筑面积21.4万平方米。</t>
  </si>
  <si>
    <t>2015-2021</t>
  </si>
  <si>
    <t>完成初中教学楼主体工程建设。</t>
  </si>
  <si>
    <t>1.约60目的用地指标未落实；
2.安置地未落实；
3.部分高压线杆、发射塔未迁移。</t>
  </si>
  <si>
    <t>钦州市第十四中学</t>
  </si>
  <si>
    <t>总建筑面积1.35万平方米，建设教学用房、辅助用房、生活用房及相关配套设施。</t>
  </si>
  <si>
    <t>完成教学用房主体建设。</t>
  </si>
  <si>
    <t>已完成项目立项、用地预审、选址，正在协调用地移交工作。</t>
  </si>
  <si>
    <t>钦南区教育局</t>
  </si>
  <si>
    <t>钦南区学前教育项目</t>
  </si>
  <si>
    <t>建设大番坡镇、康熙岭镇中心幼儿园，钦州市第十二、十三幼儿园教学及辅助用房1.6万平方米。</t>
  </si>
  <si>
    <t>完成第十二幼、十三幼教学楼主体建设。</t>
  </si>
  <si>
    <t>钦北区东升学校（九年一贯制）</t>
  </si>
  <si>
    <t>总建筑面积2.9万平方米，设36个班，容纳学生1600名，建设标准教室、教辅用房、生活服务用房及相关配套设施。</t>
  </si>
  <si>
    <t>完成教学及教学辅助用房主体建设。</t>
  </si>
  <si>
    <t>已完成项目立项，选址、用地等批复和土地平整。</t>
  </si>
  <si>
    <t>资金缺额大。</t>
  </si>
  <si>
    <t>1.学校北面约1.26亩土地征迁问题；
2.市财政资金扶持。</t>
  </si>
  <si>
    <t>钦北区教育局</t>
  </si>
  <si>
    <t>钦州市华发小学（第四十三小学）</t>
  </si>
  <si>
    <t>总建筑面积1.14万平方米，设30个班，容纳学生1350名，建设标准教室、教辅用房、生活服务用房及相关配套设施。</t>
  </si>
  <si>
    <t>市财政资金扶持。</t>
  </si>
  <si>
    <t>钦州市第十幼儿园</t>
  </si>
  <si>
    <t>总建筑面积3800平方米，设12个班，容纳学生360名，建设标准教室、教辅用房、生活服务用房及相关配套设施。</t>
  </si>
  <si>
    <t>1.缺7.5亩用地指标；
2.市财政资金扶持。</t>
  </si>
  <si>
    <t>钦北区小董中学迁建项目</t>
  </si>
  <si>
    <t>总建筑面积5.5万平方米，设60个班，容纳学生3000名。</t>
  </si>
  <si>
    <t>教学楼完成主体建设。</t>
  </si>
  <si>
    <t>1.建设资金紧缺；
2.高压电杆未迁移。</t>
  </si>
  <si>
    <t>钦州市十六中学</t>
  </si>
  <si>
    <t>建筑面积3.3万平方米。</t>
  </si>
  <si>
    <t>完成宿舍楼建设。</t>
  </si>
  <si>
    <t>钦北区义务教育均衡发展项目</t>
  </si>
  <si>
    <t>新建教学及教学辅助用房12.4万平方米，校舍维修改造39.2万平方米，运动场地维修改造2.7万平方米。</t>
  </si>
  <si>
    <t>灵山县精神病医院</t>
  </si>
  <si>
    <t>总建筑面积1.05万平方米。</t>
  </si>
  <si>
    <t>钦南区养护院建设项目</t>
  </si>
  <si>
    <t>总建筑面积9300平方米，建设院民宿舍楼及相关的配套设施，设置床位200张。</t>
  </si>
  <si>
    <t>完成一幢院民宿舍楼及道路绿化等配套设施建设。</t>
  </si>
  <si>
    <t>钦南区民政局</t>
  </si>
  <si>
    <t>灵山县工人文化宫建设项目（一期）</t>
  </si>
  <si>
    <t>总建筑面积8264平方米，建设一栋三层文化宫。</t>
  </si>
  <si>
    <t>钦州市第二看守所项目</t>
  </si>
  <si>
    <t>总建筑面积2.95万平方米，建设看守所用房、武警营房。</t>
  </si>
  <si>
    <t>已完成前期工作和“三通一平”。</t>
  </si>
  <si>
    <t>尚未落实建设资金。</t>
  </si>
  <si>
    <t>1.尚未落实建设资金；
2.建设用地周边缺乏供水、排水、排污、交通等市政配套设施。</t>
  </si>
  <si>
    <t>钦州市公安局警务技能训练基地</t>
  </si>
  <si>
    <t>总建筑面积1.75万平方米，建设教学用房、训练用房、宿舍用房、食堂、其他附属用房。</t>
  </si>
  <si>
    <t>完成两层主体建设。</t>
  </si>
  <si>
    <t>已完成用地、规划、立项、可研等前期工作，正在进行方案设计。</t>
  </si>
  <si>
    <t>钦州市公安局交警支队车辆管理所项目</t>
  </si>
  <si>
    <t>总建筑面积1万平方米，建设车管业务楼、档案楼、车牌制造车间、交通安全学习教育基地及配套设施。</t>
  </si>
  <si>
    <t>土地房屋征拆、20亩待报用地指标和解决被征地的群众就业用地指标</t>
  </si>
  <si>
    <t>市公安局交警支队</t>
  </si>
  <si>
    <t>灵山县政务服务中心及其配套设施项目</t>
  </si>
  <si>
    <t>规划用地50亩，建设政务服务大楼以及道路铺装、给排水、电气、消防、绿化等室外附属工程等。</t>
  </si>
  <si>
    <t>灵山县国防教育训练基地项目</t>
  </si>
  <si>
    <t>总建筑面积8694平方米，建设阶梯综合楼面积、教室附属楼、食堂附属楼、门卫室。</t>
  </si>
  <si>
    <t>钦南区为民办10件实事项目</t>
  </si>
  <si>
    <t>装修区政务服务中心，建设西显大桥、油埠桥等10个为民办实事项目。</t>
  </si>
  <si>
    <t>建设西显大桥、油埠桥、城区公厕、农村学校道路安全设施。</t>
  </si>
  <si>
    <t>钦南区教育局、钦南区交通运输局等</t>
  </si>
  <si>
    <t>钦北区人武部新营院建设项目</t>
  </si>
  <si>
    <t>总建筑6517平方米，建设办公指挥楼、民兵训练基地楼、公寓楼、门卫室及相关配套设施，</t>
  </si>
  <si>
    <t>完成部分主体工程
建设。</t>
  </si>
  <si>
    <t>中央民族大学附属中学钦州国际学校</t>
  </si>
  <si>
    <t>总建筑面积13.9万平方米，建设教学楼、实验楼、行政综合楼、学生宿舍、运动场等。</t>
  </si>
  <si>
    <t>完成教学楼、实验楼、行政综合楼、学生宿舍、食堂、体艺综合体和运动场地设施建设。</t>
  </si>
  <si>
    <t>1.黑山河的改道问题；
2.嘉兴街通路及周边道路的市政、正式用水和用电、煤气等管网配套问题。</t>
  </si>
  <si>
    <t>广西大美教育发展有限公司</t>
  </si>
  <si>
    <t>市教育局、市滨海新城管委</t>
  </si>
  <si>
    <t>钦州市京华国际艺术双语学校</t>
  </si>
  <si>
    <t>总建筑面积6.2万平方米，建设教学楼、体育馆、图书馆、运动场地等。</t>
  </si>
  <si>
    <t>北海市京华文化教育产业有限公司</t>
  </si>
  <si>
    <t>灵山县正久实验中学扩建高中部项目</t>
  </si>
  <si>
    <t>总建筑面积10万平方米。</t>
  </si>
  <si>
    <t>完成2栋宿舍楼、3栋教学楼、1栋学生饭堂建设。</t>
  </si>
  <si>
    <t>75亩新增建设用地指标未解决。</t>
  </si>
  <si>
    <t>广西正久投资集团有限公司</t>
  </si>
  <si>
    <t>北部湾（灵山）喜月母婴月子中心</t>
  </si>
  <si>
    <t>建设5栋大楼，包括150间（套）母婴房及120间职工公寓式宿舍和10间大型功能厅。</t>
  </si>
  <si>
    <t>1.征地问题；
2.选址问题。</t>
  </si>
  <si>
    <t>灵山县喜月母婴护理有限公司</t>
  </si>
  <si>
    <t>灵山县敬安公墓建设项目</t>
  </si>
  <si>
    <t>占地面积500亩，建设园林式生态公墓，经营性墓穴及公墓配套设施、设备及殡葬用品等。</t>
  </si>
  <si>
    <t>部分建成投入使用。</t>
  </si>
  <si>
    <t>广西敬安建设投资有限公司</t>
  </si>
  <si>
    <t>钦南区常青陵园生态林园公益性公墓</t>
  </si>
  <si>
    <t>建设墓位5.84万座，其中公益性公墓2.86万座，经营性公墓2.98万座。</t>
  </si>
  <si>
    <t>完成接待楼2000平方米及道路绿化等配套设施建设。</t>
  </si>
  <si>
    <t>钦州市常青陵园有限公司</t>
  </si>
  <si>
    <t>钦北区华祖园生命文化纪念园项目</t>
  </si>
  <si>
    <t>占地面积300亩，建设办公楼、停车场、绿化景观、墓区等。</t>
  </si>
  <si>
    <t>建设停车场，办公楼,一期经营性墓地。</t>
  </si>
  <si>
    <t>197亩土地待市土审会审批。</t>
  </si>
  <si>
    <t>钦州华祖园投资有限公司</t>
  </si>
  <si>
    <t>浦北县农村信用合作联社综合业务大楼建设项目</t>
  </si>
  <si>
    <t>总建筑面积3.5万平方米。</t>
  </si>
  <si>
    <t>浦北县农村信用合作联社</t>
  </si>
  <si>
    <t>钦州市2019年总投资1000万元以上重点建设项目责任表
（计划新开工项目）</t>
  </si>
  <si>
    <t>项目负责人及联系电话</t>
  </si>
  <si>
    <t>是否有收益</t>
  </si>
  <si>
    <t>用地计数</t>
  </si>
  <si>
    <t>用海计数</t>
  </si>
  <si>
    <t>用林计数</t>
  </si>
  <si>
    <t>征拆计数</t>
  </si>
  <si>
    <t>融资计数</t>
  </si>
  <si>
    <t>问题类型</t>
  </si>
  <si>
    <t>审核意见</t>
  </si>
  <si>
    <t>10亿元
以上</t>
  </si>
  <si>
    <t>计划开工
时间</t>
  </si>
  <si>
    <t>一季度
计划投资</t>
  </si>
  <si>
    <t>上半年
计划投资</t>
  </si>
  <si>
    <t>前三季度
计划投资</t>
  </si>
  <si>
    <t>年度
计划投资</t>
  </si>
  <si>
    <t>本年预计
产值</t>
  </si>
  <si>
    <t>杨文虎18757306038</t>
  </si>
  <si>
    <t>10亿</t>
  </si>
  <si>
    <t>广西华谊新材料有限公司
上海华谊（集团）公司（前期工作）</t>
  </si>
  <si>
    <t>徐颖君
13817293279</t>
  </si>
  <si>
    <t>唐亮
13061721302</t>
  </si>
  <si>
    <t>穆婷
13761281816</t>
  </si>
  <si>
    <t>征拆</t>
  </si>
  <si>
    <t>梁泉涌
13818903421</t>
  </si>
  <si>
    <t>李思蓉18677761166</t>
  </si>
  <si>
    <t>肖国年15677755888</t>
  </si>
  <si>
    <t>谭远光13877766109</t>
  </si>
  <si>
    <t>刘占先17707779966</t>
  </si>
  <si>
    <t>已签订投资协议，已完成工商注册、初步选址，已召开环评专家评审会。</t>
  </si>
  <si>
    <t>周迪威13918552493</t>
  </si>
  <si>
    <t>黎云
17707775556</t>
  </si>
  <si>
    <t>指标</t>
  </si>
  <si>
    <t>资金缺口大，请求协助企业申请专项债券。</t>
  </si>
  <si>
    <t>黄治钦
13517771711</t>
  </si>
  <si>
    <r>
      <rPr>
        <sz val="11"/>
        <rFont val="宋体"/>
        <charset val="134"/>
      </rPr>
      <t>胡祥林
1</t>
    </r>
    <r>
      <rPr>
        <sz val="11"/>
        <rFont val="宋体"/>
        <charset val="134"/>
      </rPr>
      <t>8077731906</t>
    </r>
  </si>
  <si>
    <t xml:space="preserve">刘瑜      13609623859   </t>
  </si>
  <si>
    <t>建设新能源物流车5万辆和特种车2.5万辆零部件生产线。</t>
  </si>
  <si>
    <t>恒源电动汽车集团股份有限公司</t>
  </si>
  <si>
    <t>刘云建  13135725311</t>
  </si>
  <si>
    <t>唐文文   18178798287</t>
  </si>
  <si>
    <t>刘懂     18818205056</t>
  </si>
  <si>
    <t>温海珍13667811266</t>
  </si>
  <si>
    <t xml:space="preserve">陆瑞春         15878931415       </t>
  </si>
  <si>
    <t>沈智斌  13850077819</t>
  </si>
  <si>
    <t>资金</t>
  </si>
  <si>
    <t>陈衡  13605139948</t>
  </si>
  <si>
    <t>侯  斌18811172460</t>
  </si>
  <si>
    <t>刘玉峰    13715313036</t>
  </si>
  <si>
    <t>邓小良18992077394</t>
  </si>
  <si>
    <t>完成研发中心的建设并投用，启用产品B样机。</t>
  </si>
  <si>
    <t>刘晓斌18612447059</t>
  </si>
  <si>
    <t>邓权艳13907777409</t>
  </si>
  <si>
    <t>韦健昌17707771973</t>
  </si>
  <si>
    <t>喻素军15575828888</t>
  </si>
  <si>
    <t>王先怀13877775746</t>
  </si>
  <si>
    <t>周芳
18107779199</t>
  </si>
  <si>
    <t>李喜明13807838824</t>
  </si>
  <si>
    <t>庞俣18978181905</t>
  </si>
  <si>
    <t xml:space="preserve">董政
18889746896          </t>
  </si>
  <si>
    <t>冉征13811022100</t>
  </si>
  <si>
    <t>黎桥辉18073336633</t>
  </si>
  <si>
    <t>王志文13878702818</t>
  </si>
  <si>
    <t>灵山动漫玩具产业城</t>
  </si>
  <si>
    <t>黄秋凤18877103668</t>
  </si>
  <si>
    <t>征拆、指标</t>
  </si>
  <si>
    <t>刘勇13807775666</t>
  </si>
  <si>
    <t>张琪13707777868</t>
  </si>
  <si>
    <t>1.加快征地；
2.落实用地指标。</t>
  </si>
  <si>
    <t>广西聚德福生物科技有限公司</t>
  </si>
  <si>
    <t>何国斌18277766688</t>
  </si>
  <si>
    <t>年生产200万平方米多层实木复合地板和10万套板式家具，建设集团总部办公大厦及实木复合地板、板式家具生产线。</t>
  </si>
  <si>
    <t>杨文友13321684568</t>
  </si>
  <si>
    <t>叶自钦15907775100</t>
  </si>
  <si>
    <t>建筑面积2.2万平方米，年产1200万件玩具。</t>
  </si>
  <si>
    <t>实现一期项目开工建设。</t>
  </si>
  <si>
    <t>黄春
13713652715</t>
  </si>
  <si>
    <t xml:space="preserve">灵山县兴泰木业年产10万套板式家具板 </t>
  </si>
  <si>
    <t xml:space="preserve">总建筑面积3.3万平方米，建设生产车间、仓库、辅助用房，购置电脑、开料锯，堆台锯、底漆砂光机、宽幅异型砂光机、流水线等设备。 </t>
  </si>
  <si>
    <t xml:space="preserve">2019-2020 </t>
  </si>
  <si>
    <t xml:space="preserve"> 广西灵山县兴泰木业有限公司 </t>
  </si>
  <si>
    <t xml:space="preserve">谭品杰
 17772056527 </t>
  </si>
  <si>
    <t>设计年产70万平方米钢化玻璃，建设厂房、办公室、员工宿舍、生产线及相关配套设施。</t>
  </si>
  <si>
    <t>劳世识13660020561</t>
  </si>
  <si>
    <t>张盛达18777728777</t>
  </si>
  <si>
    <t>陈琼
18278783208</t>
  </si>
  <si>
    <t>郑贤丰
18888396666</t>
  </si>
  <si>
    <t>王宜和 13807805529</t>
  </si>
  <si>
    <t>陈鸿志
13907777066</t>
  </si>
  <si>
    <t>陈国钊13737773006</t>
  </si>
  <si>
    <t>完成厂房及厂区配套设施建设</t>
  </si>
  <si>
    <t>蒋贤华 13788393818</t>
  </si>
  <si>
    <t>完成土方平整及开工建设厂房</t>
  </si>
  <si>
    <t>黄卿 15678895430</t>
  </si>
  <si>
    <t>前期工作准备完成，项目开工建设达30%以上</t>
  </si>
  <si>
    <t>邓伟鑫 15717773135</t>
  </si>
  <si>
    <t>孟翔天17776201212</t>
  </si>
  <si>
    <t>刘奕飞15677187688</t>
  </si>
  <si>
    <t>张群涛17707879699</t>
  </si>
  <si>
    <t>李波18119508585</t>
  </si>
  <si>
    <t>完成厂房主体工程建设。</t>
  </si>
  <si>
    <t>庄志宏
13877713669</t>
  </si>
  <si>
    <t>吴石宁13985777456</t>
  </si>
  <si>
    <t>可研已编制完成，已召开项目保护区问题评审会。</t>
  </si>
  <si>
    <t>欧诚13907810807</t>
  </si>
  <si>
    <t>港口水运</t>
  </si>
  <si>
    <t>交通</t>
  </si>
  <si>
    <t>水运</t>
  </si>
  <si>
    <t>基础设施</t>
  </si>
  <si>
    <t>完成水下地形测量，完成工程可行性研究报告初稿。</t>
  </si>
  <si>
    <t>项目资金未落实。</t>
  </si>
  <si>
    <t>胡燕杰
18177777870</t>
  </si>
  <si>
    <t>已申请入库，待核定。</t>
  </si>
  <si>
    <t>正在将14#泊位由散杂货泊位调整为液体危险品泊位。</t>
  </si>
  <si>
    <t>陈光贤15807775872</t>
  </si>
  <si>
    <t>江智
13737779503</t>
  </si>
  <si>
    <t>梁恒溢
15977762617</t>
  </si>
  <si>
    <t>正在开展项目初设编制。</t>
  </si>
  <si>
    <t>项目涉及钦州东站普速场股道线路延长，新增10亩用地需钦州市土规调整完成后才能批复用地预审。</t>
  </si>
  <si>
    <t>10亩用地需钦州市土规调整。</t>
  </si>
  <si>
    <t>秦彦杰
13807718787</t>
  </si>
  <si>
    <t>铁路</t>
  </si>
  <si>
    <t>路基工程10%、桥涵工程10%，征地拆迁工作10%。</t>
  </si>
  <si>
    <t>开展征拆工作。</t>
  </si>
  <si>
    <t>吴煜13978863636</t>
  </si>
  <si>
    <t>公路</t>
  </si>
  <si>
    <t>王正洲18779302888</t>
  </si>
  <si>
    <t>已开工建设。</t>
  </si>
  <si>
    <t>梁伟进
18077766011</t>
  </si>
  <si>
    <t>已完成施工、监理招投标等工作。</t>
  </si>
  <si>
    <t>征地拆迁、水管、光缆未解决。</t>
  </si>
  <si>
    <t>曾庆盈  13607776478</t>
  </si>
  <si>
    <t>征拆、资金</t>
  </si>
  <si>
    <t>开工建设路基、涵洞等工程。</t>
  </si>
  <si>
    <t>正在开展财审及招投标工作。</t>
  </si>
  <si>
    <t>设计需要自治区交通运输厅批复，缺口资金约6.2亿元。</t>
  </si>
  <si>
    <t xml:space="preserve">灵山县灵通交通投资开发有限公司 </t>
  </si>
  <si>
    <t>苏文杰13977763165</t>
  </si>
  <si>
    <t>二级公路，全长3公里，宽12米。</t>
  </si>
  <si>
    <t>李梓富18778702474</t>
  </si>
  <si>
    <t>四</t>
  </si>
  <si>
    <t>已完成可研批复等前期工作。</t>
  </si>
  <si>
    <t>建设资金尚未全部落实，项目建设模式未确定。</t>
  </si>
  <si>
    <t>宁龙
13207774231</t>
  </si>
  <si>
    <t>生态环保</t>
  </si>
  <si>
    <t>城市基础设施</t>
  </si>
  <si>
    <t>其他市政设施</t>
  </si>
  <si>
    <t>已取得可研等批复，正在办理设计招标工作。</t>
  </si>
  <si>
    <t>路网工程</t>
  </si>
  <si>
    <t>城市路网</t>
  </si>
  <si>
    <t>对钦州湾大道（西环北路至南北二级路段）长2130米、宽70米道路进行升级改造</t>
  </si>
  <si>
    <t>已开工建设，正在进行混凝土路面断板更换及路基注浆加固。</t>
  </si>
  <si>
    <t>需加快改造道路的部分绿化带、构筑物及管线的迁移工作。建设资金未全部落实。</t>
  </si>
  <si>
    <t>林景文13737777152</t>
  </si>
  <si>
    <t xml:space="preserve">已完成初步设计批复、施工图审查，取得工程规划许可证。    </t>
  </si>
  <si>
    <t>陈春文18077736905</t>
  </si>
  <si>
    <t>已完成可研批复，正在进行初步设计报批和施工图设计工作。</t>
  </si>
  <si>
    <t>建设资金未落实，存在征拆问题。</t>
  </si>
  <si>
    <t>正在调整初步设计文本及概算。</t>
  </si>
  <si>
    <t>劳运强
15278770986</t>
  </si>
  <si>
    <t>已完成可研、建设用地规划许可证，正在进行招投标。</t>
  </si>
  <si>
    <t>邱毓贤18277781170</t>
  </si>
  <si>
    <t>正在办理规划选址。</t>
  </si>
  <si>
    <t>何有军13807772598</t>
  </si>
  <si>
    <t>开展道路建设。</t>
  </si>
  <si>
    <t>邓程昌13457745705</t>
  </si>
  <si>
    <t>宁森全13457786666</t>
  </si>
  <si>
    <t>供水工程</t>
  </si>
  <si>
    <t>完成项目核准。</t>
  </si>
  <si>
    <t>方绍王13977792897</t>
  </si>
  <si>
    <t>供电工程</t>
  </si>
  <si>
    <t>建设线路45公里，配变约61台。</t>
  </si>
  <si>
    <t>线路施工受阻，路径青苗赔偿难度大。</t>
  </si>
  <si>
    <t>李国先15007715628</t>
  </si>
  <si>
    <t>梁健13877711819</t>
  </si>
  <si>
    <t>谭杰材13507772390</t>
  </si>
  <si>
    <t>对市行政信息中心、永福东西大街、钦州湾大道、扬帆大道、富民路、兴桂路、蓬莱大道等80栋楼宇老化亮化设施进行改造。</t>
  </si>
  <si>
    <t>钦州市市政工程和照明管理处</t>
  </si>
  <si>
    <t>陆丽娜18077768570</t>
  </si>
  <si>
    <t>其他</t>
  </si>
  <si>
    <t>已完成可研批复。</t>
  </si>
  <si>
    <t>征拆量较大，原可研批复内容与现行安置政策不符，建设资金未落实。</t>
  </si>
  <si>
    <t>钦州新区供电局</t>
  </si>
  <si>
    <t>范修利18278728338</t>
  </si>
  <si>
    <t>完成技术业务用房主体建设</t>
  </si>
  <si>
    <t>张显华18707770804</t>
  </si>
  <si>
    <t>梁必远13377273088</t>
  </si>
  <si>
    <t>五</t>
  </si>
  <si>
    <t>梁培福18977791251</t>
  </si>
  <si>
    <t>园区基础设施</t>
  </si>
  <si>
    <t>已完成初设批复。</t>
  </si>
  <si>
    <t>钦北区皇马管委会</t>
  </si>
  <si>
    <t>凌远建13907876335</t>
  </si>
  <si>
    <t>已获得海域使用证，正在进行施工、监理招标工作。</t>
  </si>
  <si>
    <t>项目建设资金不足。</t>
  </si>
  <si>
    <t>张峰18807772656</t>
  </si>
  <si>
    <t>海域吹填及土地平整</t>
  </si>
  <si>
    <t>可研已批复，初步设计已编制完成。</t>
  </si>
  <si>
    <t>韦斯桂13217774267</t>
  </si>
  <si>
    <t>钦州港建议年度计划投资改为3000万元。</t>
  </si>
  <si>
    <t>完成立项、初步选址、用地预审批复等前期工作。</t>
  </si>
  <si>
    <t>方案</t>
  </si>
  <si>
    <t>2019-2019</t>
  </si>
  <si>
    <t>李卓龙18877705663</t>
  </si>
  <si>
    <t>完成可研批复，正在开展招投标。</t>
  </si>
  <si>
    <t>陆远光15078910892</t>
  </si>
  <si>
    <t>黄开杰
13321795312</t>
  </si>
  <si>
    <t>已完成方案设计。</t>
  </si>
  <si>
    <t>丁家庆13517576528</t>
  </si>
  <si>
    <t>已完成岩土勘察、设计、预算评审工作，进入招投标程序。</t>
  </si>
  <si>
    <t>用地规划没有办理，征地工作未开展。</t>
  </si>
  <si>
    <t>已完成项目立项、可研编制，取水口和排污口已选定。</t>
  </si>
  <si>
    <t>项目资金来源未落实。</t>
  </si>
  <si>
    <t>钦州市北部湾华侨投资区管理委员会</t>
  </si>
  <si>
    <t>赵勇前18677793858</t>
  </si>
  <si>
    <t>正在编制可研报告。</t>
  </si>
  <si>
    <t>线路路径部分还是原始地貌，需要协调加快配套道路建设。</t>
  </si>
  <si>
    <t>韦振华13977780085</t>
  </si>
  <si>
    <t>苏家琪18577904194</t>
  </si>
  <si>
    <t>正在开展用地手续，编制环评报告，可研已通过评审会评审。</t>
  </si>
  <si>
    <t>唐虎生18677752561</t>
  </si>
  <si>
    <t>已完成项目可研、节能、环评等批复。</t>
  </si>
  <si>
    <t>张重坤15907773117</t>
  </si>
  <si>
    <t>郑思远
18807777722</t>
  </si>
  <si>
    <t>标准厂房正在做基础打桩。</t>
  </si>
  <si>
    <t>土地平整未完成。</t>
  </si>
  <si>
    <t>覃世襟</t>
  </si>
  <si>
    <t>六</t>
  </si>
  <si>
    <t>开工建设海堤长2公里。</t>
  </si>
  <si>
    <t>完成可研批复，初设已评审未批复。</t>
  </si>
  <si>
    <t>用海手续办理困难。</t>
  </si>
  <si>
    <t>黄朝荣15177997716</t>
  </si>
  <si>
    <t>水利</t>
  </si>
  <si>
    <t>农林水</t>
  </si>
  <si>
    <t>按照10年一遇防洪标准，治理河长约4公里，新建护岸总长5.3公里。</t>
  </si>
  <si>
    <t>劳绍毅13471718103</t>
  </si>
  <si>
    <t>七</t>
  </si>
  <si>
    <t>兰文强18277977777</t>
  </si>
  <si>
    <t>商贸流通</t>
  </si>
  <si>
    <t>秦启龙
15177117070</t>
  </si>
  <si>
    <t>总建筑面积57万平方米，建设商贸一体化物流产业链、园区物流服务配套平台、跨境电商平台及物流、金融、数据中心。</t>
  </si>
  <si>
    <t xml:space="preserve">张 萍13816503063    </t>
  </si>
  <si>
    <t>环评未批复，用地指标缺乏，征地推进较慢。</t>
  </si>
  <si>
    <t>蓝亚斌13377005437</t>
  </si>
  <si>
    <t>苏长安15677105555</t>
  </si>
  <si>
    <t>方军13977715885</t>
  </si>
  <si>
    <t>韦立造13877705888</t>
  </si>
  <si>
    <t>总建筑面积19.2万平方米，建设五星级宾馆、渔村地标建筑、渔家风情文化广场、滨海广场、美食广场等。</t>
  </si>
  <si>
    <t>朱明18276066688</t>
  </si>
  <si>
    <t>旅游</t>
  </si>
  <si>
    <t>慕华15007776602</t>
  </si>
  <si>
    <t>吴波18607872966</t>
  </si>
  <si>
    <t>陈琳18807705466</t>
  </si>
  <si>
    <t>黄宏坤13977796900</t>
  </si>
  <si>
    <t>周夏 15777731588</t>
  </si>
  <si>
    <t>曾日兰18507771900</t>
  </si>
  <si>
    <t>李慧红18977188078</t>
  </si>
  <si>
    <t>灵山县文旅局</t>
  </si>
  <si>
    <t xml:space="preserve">吴行新18977715666
李小明13977716125        </t>
  </si>
  <si>
    <t>杨茂良13558339339</t>
  </si>
  <si>
    <t>信息服务</t>
  </si>
  <si>
    <t>完成机房主体3层建设。</t>
  </si>
  <si>
    <t>莫玲
13877789680</t>
  </si>
  <si>
    <t>黄治寰
13977737988</t>
  </si>
  <si>
    <t>八</t>
  </si>
  <si>
    <t>洪业声
18007771964</t>
  </si>
  <si>
    <t>教育</t>
  </si>
  <si>
    <t>社会事业</t>
  </si>
  <si>
    <t>民生设施</t>
  </si>
  <si>
    <t>苏斌13877733387</t>
  </si>
  <si>
    <t>钦州市皇马资产经管集团有限公司</t>
  </si>
  <si>
    <t>王俊英15007774286</t>
  </si>
  <si>
    <t>劳景才
13807773148</t>
  </si>
  <si>
    <t>已完成初步设计批复。</t>
  </si>
  <si>
    <t>余爱周13217772728</t>
  </si>
  <si>
    <t>卫生</t>
  </si>
  <si>
    <t>陈涛芳15977023100</t>
  </si>
  <si>
    <t>颜杰13877766122</t>
  </si>
  <si>
    <t>已完成项目备案，准备开展征地工作。</t>
  </si>
  <si>
    <t>土地指标未获得。</t>
  </si>
  <si>
    <t>杨昊霖 15207771018</t>
  </si>
  <si>
    <t>施晓玲15994635580</t>
  </si>
  <si>
    <t>文化</t>
  </si>
  <si>
    <t>建设停车场，办公楼，一期经营性墓地。</t>
  </si>
  <si>
    <t>已完成237亩征地、林地使用申报（现补报67亩）及部分土地招拍挂前置手续。</t>
  </si>
  <si>
    <t xml:space="preserve">张崙18177000685 </t>
  </si>
  <si>
    <t>民政</t>
  </si>
  <si>
    <t>丈量确认土地面积180亩。</t>
  </si>
  <si>
    <t>用地指标缺口500亩。</t>
  </si>
  <si>
    <t>甘毅强18978956996</t>
  </si>
  <si>
    <t>吴瑞琪
18177776883</t>
  </si>
  <si>
    <t>存在征拆问题。</t>
  </si>
  <si>
    <t>市交警支队</t>
  </si>
  <si>
    <t>黄文显
13907779796</t>
  </si>
  <si>
    <t>已完成规划选址、地形测绘。</t>
  </si>
  <si>
    <t>钦南区交通局等</t>
  </si>
  <si>
    <t>杨坤  13707887619</t>
  </si>
  <si>
    <t>总建筑面积8694平方米，建设阶梯综合楼面积、教室附属楼、食堂附属楼、门卫。</t>
  </si>
  <si>
    <t>钦州市2019年总投资1000万元以上重点建设项目责任表
（续建项目）</t>
  </si>
  <si>
    <t>工程形象进度</t>
  </si>
  <si>
    <t>项目业主</t>
  </si>
  <si>
    <t>入统区域</t>
  </si>
  <si>
    <t>未入统原因</t>
  </si>
  <si>
    <t>投资项目或投资项目项目</t>
  </si>
  <si>
    <t>入统方式</t>
  </si>
  <si>
    <t>是否竣工</t>
  </si>
  <si>
    <t>年度计划投资1000万元以上项目标识</t>
  </si>
  <si>
    <t>年度计划投资2000万元以上项目标识</t>
  </si>
  <si>
    <t>年度计划投资5000万元以上项目标识</t>
  </si>
  <si>
    <t>名称修改前</t>
  </si>
  <si>
    <t>2018-0208第二次大改时的存在的项目</t>
  </si>
  <si>
    <t>10亿元以上</t>
  </si>
  <si>
    <t>年度建设
目标</t>
  </si>
  <si>
    <t>实际竣工月份</t>
  </si>
  <si>
    <t>已完成土地平整约1490亩，已建成办公楼辅楼，正在建设醋酸装置。</t>
  </si>
  <si>
    <t>项目征拆未完成。</t>
  </si>
  <si>
    <t>前期工作已完成，已完成海域竣工验收手续。</t>
  </si>
  <si>
    <t>换发土地证时间长。</t>
  </si>
  <si>
    <t>谢雨山18905949583</t>
  </si>
  <si>
    <t>已安装2条生产线。</t>
  </si>
  <si>
    <t>企业融资困难。</t>
  </si>
  <si>
    <t>王雁
14777703665</t>
  </si>
  <si>
    <r>
      <rPr>
        <sz val="11"/>
        <rFont val="宋体"/>
        <charset val="134"/>
      </rPr>
      <t>2</t>
    </r>
    <r>
      <rPr>
        <sz val="11"/>
        <rFont val="宋体"/>
        <charset val="134"/>
      </rPr>
      <t>018-2020</t>
    </r>
  </si>
  <si>
    <t>资金缺口2790万。</t>
  </si>
  <si>
    <t>7号标房投产，8号办公楼已经投入使用，9号、10号标房设备已完成安装调试。</t>
  </si>
  <si>
    <t>完成二期工程基础施工，进行高层主体建设。</t>
  </si>
  <si>
    <t>一期工程完成主体建设，二期工程进入全面施工阶段。</t>
  </si>
  <si>
    <t>公司股东出资不到位、建设资本金紧张。</t>
  </si>
  <si>
    <t>已完成厂房设备安装、调试及员工培训，部分生产线已投产。</t>
  </si>
  <si>
    <t>物流成本高。</t>
  </si>
  <si>
    <t xml:space="preserve">苏奇华   13877731149    </t>
  </si>
  <si>
    <t>建设年产300万台SEIKI（智能电视机）、液晶显示器生产线。</t>
  </si>
  <si>
    <t>完成部分厂房主体建设。</t>
  </si>
  <si>
    <t>土地已平整，方案设计已基本完成。</t>
  </si>
  <si>
    <t>企业受中信保政策影响，海外订单受阻。</t>
  </si>
  <si>
    <t xml:space="preserve">徐  斌  13760248130   </t>
  </si>
  <si>
    <t>建设微波射频测试中心（远近场）、天线配套环境测试中心、天线研发中心及12条天线类产品生产线。</t>
  </si>
  <si>
    <t>租用方圆公司的电子信息产业园第6标准厂房的工程中心已经封顶，正在进行厂房装修设计等工作。</t>
  </si>
  <si>
    <t>孙程炜   15312061616</t>
  </si>
  <si>
    <t>成立项目筹备办公室，公司已注册，正在开展厂房规划设计和装修。海关手续已经办理完毕。</t>
  </si>
  <si>
    <t xml:space="preserve">龚小波  18960913058   </t>
  </si>
  <si>
    <t>已完成部分厂房设备安装、正在进行调试及员工培训。</t>
  </si>
  <si>
    <t>王  琳 15101180321</t>
  </si>
  <si>
    <t>2个平台已投入运营，余下3平台依托总建筑面积2万平方米的研发大楼建设，研发大楼已完成地勘及临时用地开挖。</t>
  </si>
  <si>
    <t>程林友18777719494</t>
  </si>
  <si>
    <t>正在打桩基。</t>
  </si>
  <si>
    <t>潘玲玲18677793353</t>
  </si>
  <si>
    <t>C1和C2生产厂房、A型宿舍、A型和B型厂房地下工程已完工。正在修建围墙，推进水电工程。</t>
  </si>
  <si>
    <t>雷强15707777059</t>
  </si>
  <si>
    <t>完成场地平整、电力专线征地施工及送电、机械钻井等工作。</t>
  </si>
  <si>
    <t>进入隔离场道路未硬化，投资区供水厂和污水处理厂及相关管网尚未建设。环评尚未通过批复。</t>
  </si>
  <si>
    <t>刘忠平18077768388</t>
  </si>
  <si>
    <t>完成厂区道路建设、2栋生产车间</t>
  </si>
  <si>
    <t>已完成土地平整和工程设计。</t>
  </si>
  <si>
    <t>周新超18978913193</t>
  </si>
  <si>
    <t>已完成土地平整和主车间基础工程。</t>
  </si>
  <si>
    <t>谢金锋18078139960</t>
  </si>
  <si>
    <t>完成办公楼、宿舍及相关配套基础设施的建设。</t>
  </si>
  <si>
    <t>已完成场地硬化和车间建设。</t>
  </si>
  <si>
    <t>供水、网络未通，土地未能招拍挂。</t>
  </si>
  <si>
    <t>谭  源15677753333</t>
  </si>
  <si>
    <t>完成标准厂房基础建设。</t>
  </si>
  <si>
    <t>正在开展用地招拍挂。</t>
  </si>
  <si>
    <t>陆明艳
13977742083</t>
  </si>
  <si>
    <t>完成部分标准厂房建设。</t>
  </si>
  <si>
    <t>办公楼已封顶，正在进行装修工作。</t>
  </si>
  <si>
    <t>甘铁汉1390777333</t>
  </si>
  <si>
    <t>钦北区年产1万吨高纯四氧化三锰项目</t>
  </si>
  <si>
    <t>建设年产1万吨高纯四氧化三锰、1万吨高纯硫酸锰，以及年产10万吨纯一氧化锰生产项目。</t>
  </si>
  <si>
    <t>已备案，土地已平整。</t>
  </si>
  <si>
    <t>没有土地指标。</t>
  </si>
  <si>
    <t>韦庆锰13877778873</t>
  </si>
  <si>
    <t>办公楼基础开挖。</t>
  </si>
  <si>
    <t>没有土地指标，目前处于停工状态。</t>
  </si>
  <si>
    <t>何志文18825230613</t>
  </si>
  <si>
    <t>已完成土地平整。</t>
  </si>
  <si>
    <t>黄剑光18577888999</t>
  </si>
  <si>
    <t>产业专项策划及城市设计编制已通过会审，机电一期、二期工程正在建设。</t>
  </si>
  <si>
    <t>资金不足、建设进展缓慢，小镇管理模式不成熟。</t>
  </si>
  <si>
    <t>灵山县住建局</t>
  </si>
  <si>
    <t>金世锋18877716689</t>
  </si>
  <si>
    <t>电池生产线已竣工试产。</t>
  </si>
  <si>
    <t>王善波
13387771218</t>
  </si>
  <si>
    <t>完成土方平整，建设好围墙，完成报批报建手续办理并已开工建设。</t>
  </si>
  <si>
    <t>部分用地与银行协商未完成，征拆未完成，没有土地指标。</t>
  </si>
  <si>
    <t>王忠阳13737788080</t>
  </si>
  <si>
    <t>完成一栋仓库的主体建设，正在建设厂房。</t>
  </si>
  <si>
    <t>黄永荣 17707870788</t>
  </si>
  <si>
    <t xml:space="preserve">浦北县生态农副产品加工项目 </t>
  </si>
  <si>
    <t>正在进行平整土地。</t>
  </si>
  <si>
    <t>土地未招拍挂，平整未完成。</t>
  </si>
  <si>
    <t>易骁
13977703721</t>
  </si>
  <si>
    <t>目前已入驻县城工业区标准厂房，已购入部分机械设备安装中。</t>
  </si>
  <si>
    <t>宁良敏13977779799</t>
  </si>
  <si>
    <t>40MW已并网，目前正按30MW规模进行施工。</t>
  </si>
  <si>
    <t>光伏建设指标缺乏。</t>
  </si>
  <si>
    <t>范利君15878755005</t>
  </si>
  <si>
    <t>总规模120MWp，一期规模20MWp。</t>
  </si>
  <si>
    <t>一期已完成20MW光伏组件安装，目前开展二期租地工作。</t>
  </si>
  <si>
    <t>租地、征地工作未完成。</t>
  </si>
  <si>
    <t>迟敬民13607718688</t>
  </si>
  <si>
    <t>正在土地平整开展前期工作。</t>
  </si>
  <si>
    <t>实现部分风机并网发电。</t>
  </si>
  <si>
    <t>已完成第一台风机基础浇筑，已完成道路建设2.31公里。</t>
  </si>
  <si>
    <t>跨钦北区租地问题、用地报批问题，金光纸业公司林木青赔问题未解决。</t>
  </si>
  <si>
    <t>丁丽媛17776647301</t>
  </si>
  <si>
    <t>已完成项目核准，地块排水沟建设完成。</t>
  </si>
  <si>
    <t>项目环评、总评、规划设计等前期工作缓慢，园区路网、管网、供水等配套设施有待完善。</t>
  </si>
  <si>
    <t>夏俊涛
18677798170</t>
  </si>
  <si>
    <t xml:space="preserve">建设2个5万吨级化工非危险品散杂货泊位，设计年吞吐能力470万吨。   </t>
  </si>
  <si>
    <t>12#泊位开工建设，13#泊位完成功能调整。</t>
  </si>
  <si>
    <t xml:space="preserve">12#泊位码头水工部分已完成前期工作，具备开工条件。13#泊位水工结构建设已基本完成，正在进行功能变更。                                                                                                      </t>
  </si>
  <si>
    <t>项目功能变更涉及新增1公顷用海预审的问题。13#泊位后方灌区初步设计审批的问题。岸线调整申报尚未批复。</t>
  </si>
  <si>
    <t>建设2个五万吨级液体化工泊位。</t>
  </si>
  <si>
    <t>16#、17#泊位码头水工已开工建设，目前钦州临海工业公司与北港集团正在积极推进泊位移交工作。</t>
  </si>
  <si>
    <t>涉及股权变更及输油管道安全论证。</t>
  </si>
  <si>
    <t/>
  </si>
  <si>
    <t>钦州港鹰岭作业区3#、4#泊位工程</t>
  </si>
  <si>
    <t>4#泊位水工主体已建成，并通过交工验收，正在办理消防、安全等专项验收。</t>
  </si>
  <si>
    <t>码头后方库区验收手续问题。</t>
  </si>
  <si>
    <t>黎光峰15878803859</t>
  </si>
  <si>
    <t>一期规划占地1182亩，建设钦州港东站作业区、码头作业区和铁路专用线。</t>
  </si>
  <si>
    <t>基本完成钦州港东站作业区、码头作业区和铁路专用线建设。</t>
  </si>
  <si>
    <t>钦州港东站二、三期货场项目已开工建设。</t>
  </si>
  <si>
    <t>130亩用海指标没有解决。</t>
  </si>
  <si>
    <t>正在开展电力、通讯线路迁改和征地搬迁工作，已开展路基、路面、桥梁、涵洞、隧道、房建工程。</t>
  </si>
  <si>
    <t>项目占用基本农田1567亩，占用耕地占补指标尚未落实。</t>
  </si>
  <si>
    <t>姚雷
18677072126</t>
  </si>
  <si>
    <t>完成路基建设约40%。</t>
  </si>
  <si>
    <t>工程已进入全面施工阶段，第四合同段约3公里路基正在施工。</t>
  </si>
  <si>
    <t>征地搬迁工作进度较慢，项目资金缺口较大。</t>
  </si>
  <si>
    <t>刘有亮15778070338</t>
  </si>
  <si>
    <t>路基工程完成46%，桥梁完成41%，涵洞工程完成41%。</t>
  </si>
  <si>
    <t>涉及基本农田未调处完。</t>
  </si>
  <si>
    <t>刘栋15277060948</t>
  </si>
  <si>
    <t>完成路基建设约20%。</t>
  </si>
  <si>
    <t>已完成浦北县及灵山县境内土地丈量，正在核发征拆款，钦南区已签订项目建设协议。</t>
  </si>
  <si>
    <t>施工图纸、林地使用许可、勘测定界图、用地报批手续未完成。占用基本农田问题。</t>
  </si>
  <si>
    <t>1.加快征地；
2.管线迁移。</t>
  </si>
  <si>
    <t xml:space="preserve">广西翔路建设有限责任公司     </t>
  </si>
  <si>
    <t>陈正伟15177178695</t>
  </si>
  <si>
    <t>梁波13737770252</t>
  </si>
  <si>
    <t>谢俊18677766049
谭乃双18076366687</t>
  </si>
  <si>
    <t>完成道路建设12公里。</t>
  </si>
  <si>
    <t>正在平整路基。</t>
  </si>
  <si>
    <t>正在建设主体工程。</t>
  </si>
  <si>
    <t>新棠起点300米尚未能施工。</t>
  </si>
  <si>
    <t>曾庆盈13607776478</t>
  </si>
  <si>
    <t>正在建设路基。</t>
  </si>
  <si>
    <t>已基本完成灵山段级配碎石垫层施工。</t>
  </si>
  <si>
    <t xml:space="preserve">浦北县龙门镇至平马村公路 </t>
  </si>
  <si>
    <t>已完成可研、环评等批复，完成全路红线放线工作及施工图审查，正在进行路基开挖回填施工。</t>
  </si>
  <si>
    <t>未获得国省道补助840万元/公里的上级补助资金，约85.1公顷用地指标以及征拆问题未解决。</t>
  </si>
  <si>
    <t>劳海燕15278751526</t>
  </si>
  <si>
    <t>二级公路，全长41.6公里，路面宽度7米，路基宽8.5～12米。</t>
  </si>
  <si>
    <t>完成所有路基35公里、完成所有桥梁涵洞，路面基层、底基层30公里、混凝土路面35公里。</t>
  </si>
  <si>
    <t>正在进行路基挖方、填方以及桥梁桩基、涵洞、挡土墙施工。</t>
  </si>
  <si>
    <t>征拆问题未解决，沿线供电、移动、电信、联通、广电等单位光纤、线杆未迁移。</t>
  </si>
  <si>
    <t>园丰集团沼气工程项目已完成土建，正在开展设备安装。其他180个养殖场正在进行粪污处理设施改造。</t>
  </si>
  <si>
    <t>灵山县水产畜牧局</t>
  </si>
  <si>
    <t>何兆幸13517577046</t>
  </si>
  <si>
    <r>
      <rPr>
        <sz val="11"/>
        <rFont val="宋体"/>
        <charset val="134"/>
      </rPr>
      <t>完成1500米污水管网、</t>
    </r>
    <r>
      <rPr>
        <sz val="12"/>
        <rFont val="宋体"/>
        <charset val="134"/>
      </rPr>
      <t>3000</t>
    </r>
    <r>
      <rPr>
        <sz val="12"/>
        <rFont val="宋体"/>
        <charset val="134"/>
      </rPr>
      <t>米雨水管网建设。</t>
    </r>
  </si>
  <si>
    <t>檀大敏18607773168</t>
  </si>
  <si>
    <t>已竣工验收了244个养殖场建设项目，1个有机肥厂和沼气池项目已完成招投标工作。</t>
  </si>
  <si>
    <t>项目点多面广，实施、验收工作比较困难。</t>
  </si>
  <si>
    <t>浦北县水产畜牧兽医局</t>
  </si>
  <si>
    <t>陈东
13788199088</t>
  </si>
  <si>
    <t>乘风大道大榄江桥南北侧引道及匝道、桥面沥青砼、绿化、照明、交通等工程。</t>
  </si>
  <si>
    <t>桥梁桩基、下构全部完成，桥面铺装、人行道护栏、机动车道防撞护栏基本完成。</t>
  </si>
  <si>
    <t>项目范围内需拆除34户房屋20亩。资金未落实。</t>
  </si>
  <si>
    <t>罗勇15078911717</t>
  </si>
  <si>
    <t>半幅路打通金海湾西大街至钦南区人民医院段。</t>
  </si>
  <si>
    <t>目前已经完成500米长度路基土石方、排水管、水稳层施工。</t>
  </si>
  <si>
    <t>征拆资金尚未解决，且安置点未落实，西沟村委沙田坪队10幢房屋未签订搬迁协议。</t>
  </si>
  <si>
    <t>1、西沟村委10幢房屋搬迁问题及征拆资金问题。
2、用地指标。</t>
  </si>
  <si>
    <t>覃学朝18777700484</t>
  </si>
  <si>
    <t>正在进行方案调整。</t>
  </si>
  <si>
    <t>需完成55亩清表，解决项目范围内36户群众的临时过渡安置问题。</t>
  </si>
  <si>
    <t>已完成滨江东路至祥安街段。</t>
  </si>
  <si>
    <t>整段道路大部分征拆尚未解决。</t>
  </si>
  <si>
    <t xml:space="preserve">正在进行道路施工，已完成钦州学院段建设。                                                                                                                                                                                                                                                                                                                                                                                                                              </t>
  </si>
  <si>
    <t xml:space="preserve">金海湾东-平山大街段已经开工，平山大街-嘉兴街段正在进行海棠街至嘉兴街段路基填筑施工。                                                                                                                     </t>
  </si>
  <si>
    <t xml:space="preserve">完成垂柳路至白石湖小学段道路路基、基层、人行道铺装、排水、电力、综合弱电工程。                                                                                                                                                            </t>
  </si>
  <si>
    <t>项目涉及到房屋拆迁较多，征拆进展缓慢。</t>
  </si>
  <si>
    <t>中央预算内投资项目。</t>
  </si>
  <si>
    <t xml:space="preserve">开展平山东大街至望州路段道路建设。  </t>
  </si>
  <si>
    <t>施工方、监理方合同已签订。项目道路、桥梁图纸已完成，挖好排水沟。</t>
  </si>
  <si>
    <t>施工单位一直拖延，现正在协商终止合同，另行选择施工单位。</t>
  </si>
  <si>
    <t>劳运强15278770986</t>
  </si>
  <si>
    <t>丰收路延长线道路改造工程已开工建设。丰收路人行道、丰裕路道路改造工程已完成可研，正在进行设计方案审查。</t>
  </si>
  <si>
    <t>房屋征拆问题未落实，工程进度缓慢。</t>
  </si>
  <si>
    <t>灵山县市政局</t>
  </si>
  <si>
    <t>黄圣勇
13977716728</t>
  </si>
  <si>
    <t xml:space="preserve">正在进行征地、涵洞工程、排水工程施工、土方回填、路缘石安装、人行道铺装等工作。             </t>
  </si>
  <si>
    <t>已经完成k0-k1+800路段的土方平整70%，下一步埋设雨水管道。</t>
  </si>
  <si>
    <t>征地问题。</t>
  </si>
  <si>
    <t>浦北县蕉香路北延长线</t>
  </si>
  <si>
    <t>正在进行道路土方施工和部分排水管线施工。</t>
  </si>
  <si>
    <t>部分路段征地未完成。</t>
  </si>
  <si>
    <t>建设输水管线工程。</t>
  </si>
  <si>
    <t>已完成南北二级公路以北约2000米道路路基土方开挖及软基换填、鱼塘围堰换填施工。</t>
  </si>
  <si>
    <t>用地权属纠纷问题未解决，水源监测站办公用房迁移回建问题，建设资金尚未落实。</t>
  </si>
  <si>
    <t>林有兴13877782366</t>
  </si>
  <si>
    <t>环城东路完成管网铺设约200米，扬帆大道（小江街至永福东大街）配水管线工程完成顶管约103米，</t>
  </si>
  <si>
    <t>周俊宏
18377756820</t>
  </si>
  <si>
    <t>铺设DN225-DN1000供水管道18.3公里，建设加压泵站一座。</t>
  </si>
  <si>
    <t>南环路已完成2000米，劲松路完成约950米管网铺设。</t>
  </si>
  <si>
    <t>加压泵站涉及林地事宜未解决，建设资金未落实。</t>
  </si>
  <si>
    <t>黄海峰（水务公司） 18507773610</t>
  </si>
  <si>
    <t>项目建设资金未落实。</t>
  </si>
  <si>
    <t>李英（水务公司）
15777739911</t>
  </si>
  <si>
    <t>完成施工招标。</t>
  </si>
  <si>
    <t>黄炳体13457723009</t>
  </si>
  <si>
    <t>用地指标未落实。</t>
  </si>
  <si>
    <t xml:space="preserve"> 韦振华13977780085</t>
  </si>
  <si>
    <t xml:space="preserve">
小江片区项目有3978套，已全部开工建设，其中在建1451套，基本建成2435套，92套停工。
</t>
  </si>
  <si>
    <t>征拆、线杆迁改问题及资金问题均未解决。</t>
  </si>
  <si>
    <t>王自国15107770218
黄佩佩13471701998</t>
  </si>
  <si>
    <t>2019年城建计划投资任务6500万元包含了开工及开展前期、征拆工作费，为与统计入库口径一致，开投建议调整为1000万元。</t>
  </si>
  <si>
    <t>潘强
13737773988</t>
  </si>
  <si>
    <t>工程一期30#、34#-39#楼已交付使用。工程二期27#、28#、31#、32#楼交付使用；29#、33#组织室内装修。工程三期全部开工。</t>
  </si>
  <si>
    <t>三期征拆范围内2栋房屋未评估，未征拆。</t>
  </si>
  <si>
    <t>梁鸿（河东公司）
13471713569</t>
  </si>
  <si>
    <t>已取得施工许可证，项目征地已完成，现正在进行基础施工。</t>
  </si>
  <si>
    <t xml:space="preserve">正在进行海棠街至嘉兴街段管廊的主体施工，正在开展控制中心工程招标工作。                                                                                                  </t>
  </si>
  <si>
    <t>未完成清表，建设资金未落实，国土部门无法出具用地规模说明。</t>
  </si>
  <si>
    <t>完成管廊建设0.8公里。</t>
  </si>
  <si>
    <t xml:space="preserve">已完成可研、设计方案批复。                                                                                                                        </t>
  </si>
  <si>
    <t>项目资金尚未落实，征拆工作尚未开展。</t>
  </si>
  <si>
    <t>正在进行北河坡、楼屋地、张黄学堂等安置区房屋主体建设及草子坡、北通政府等安置区配套道路建设。</t>
  </si>
  <si>
    <t>部分地块征地工作、林地审批未完成，部分项目未符合土地规划。</t>
  </si>
  <si>
    <t>韦立里13807770936</t>
  </si>
  <si>
    <t>完成约1公里市政中压管道铺设，已建成越州尚城二期300户入户管道，开标建设工业园区8公里中压管道。</t>
  </si>
  <si>
    <t>县城天然气场站用地未完成征地和土方平整，县城荣和路未铺设，影响燃气管道的正常施工。</t>
  </si>
  <si>
    <t>吴传龙18070751351</t>
  </si>
  <si>
    <t>中心公园已完成6000平方米土地平整及球场排水沟建设，正在做球场垫层。</t>
  </si>
  <si>
    <t>华侨岭公园、中心公园证租地工作未落实，坟山未迁移。</t>
  </si>
  <si>
    <t>完成片区EPC招标，组建项目公司和报批施工许可证，钦海大道施工准备等。</t>
  </si>
  <si>
    <t>规划边界条件和海陆分界的问题，项目资金未落实，水域及护岸用海环评及用海审批问题，征迁问题。</t>
  </si>
  <si>
    <t>1.确定规划边界条件和海陆分界；
2.项目资本金到位和项目融资方案落地；
3.水域及护岸用海环评及用海审批；
4.征迁涉及施工用地、用海范围内的净地交付率问题。</t>
  </si>
  <si>
    <t>蒋晓松13814306625</t>
  </si>
  <si>
    <t>完成90%土石方工程，正在进行景观工程、绿化工程、水体工程、桥梁工程施工。</t>
  </si>
  <si>
    <t>中马将竣工项目改为续建项目，年度计划投资改为4000万元。</t>
  </si>
  <si>
    <t>已完成皇马一区、四区、矿务局片区、百利华庭一至三区、望海苑污水管网建设。</t>
  </si>
  <si>
    <t>梁声仪  13471758011</t>
  </si>
  <si>
    <r>
      <rPr>
        <sz val="11"/>
        <rFont val="宋体"/>
        <charset val="134"/>
      </rPr>
      <t>建设日处理500方、</t>
    </r>
    <r>
      <rPr>
        <sz val="11"/>
        <rFont val="宋体"/>
        <charset val="134"/>
      </rPr>
      <t>5000方污水处理厂各一座，尾水提升泵站一座，污水管</t>
    </r>
    <r>
      <rPr>
        <sz val="11"/>
        <rFont val="宋体"/>
        <charset val="134"/>
      </rPr>
      <t>1.7公里、雨水管419米、</t>
    </r>
    <r>
      <rPr>
        <sz val="11"/>
        <rFont val="宋体"/>
        <charset val="134"/>
      </rPr>
      <t>尾水提升管10公里，配套门字出水口一座。</t>
    </r>
  </si>
  <si>
    <t>杨泽涛18977713633</t>
  </si>
  <si>
    <t>完成表层填土约60万方。</t>
  </si>
  <si>
    <t>吹填任务已完成，开挖临时航道约289万立方米，累计完成表层填土方量约130万方。</t>
  </si>
  <si>
    <t>资金不足。</t>
  </si>
  <si>
    <t>已完成勘察、选址、立项、可研、初设、施工图、预算。国内资金建设部分已开工建设。外资段2018年6月28日已开标。</t>
  </si>
  <si>
    <t>周燕
13977779759</t>
  </si>
  <si>
    <t>已完成道路部分的初步设计，正在编制办理土地使用手续、林地使用手续材料。</t>
  </si>
  <si>
    <t>项目资本金和融资方案未落地。</t>
  </si>
  <si>
    <t>解决钦海大道林地指标问题。</t>
  </si>
  <si>
    <t>梁祖熊18977740550</t>
  </si>
  <si>
    <t>路基工程完成80%，排水工程完成70%，桥梁工程完成35%。</t>
  </si>
  <si>
    <t>征地搬迁问题。</t>
  </si>
  <si>
    <t>路基工程完成30%，排水工程完成20%。</t>
  </si>
  <si>
    <t>正在进行道路主体施工。</t>
  </si>
  <si>
    <t>共需征收115亩土地、搬迁房屋73栋，因征拆问题无法提供材料办理用地报批手续。</t>
  </si>
  <si>
    <t>已完成绿州至望州路段约330米道路工程建设，蓬莱大道至金州路段已完成施工招标。</t>
  </si>
  <si>
    <t>征地概算未批复，征拆未完成，建设资金未落实。</t>
  </si>
  <si>
    <t>项目已完成地貌测设、地质钻探、初设等工作，准备出施工图纸。</t>
  </si>
  <si>
    <t>科园路（横五至珠乡食品厂路段）排污工程已开工建设。</t>
  </si>
  <si>
    <t>横一、横二、横三、科园、荣和路未完成征地拆迁。</t>
  </si>
  <si>
    <t>浦北县工管委</t>
  </si>
  <si>
    <t>高勇
13807771289</t>
  </si>
  <si>
    <t>已完成泉水工业区的污水管道铺设。</t>
  </si>
  <si>
    <t>已铺好50公里的管网。</t>
  </si>
  <si>
    <t>王超瑞18677747706</t>
  </si>
  <si>
    <t>变电站投运，线路完成架线</t>
  </si>
  <si>
    <t>施工图设计。</t>
  </si>
  <si>
    <t>站址需要调整，需落实新站址征地。</t>
  </si>
  <si>
    <t xml:space="preserve"> 黄颂武 13977791836</t>
  </si>
  <si>
    <t>已完成初步设计批复、施工图审查，以及施工招标、监理招标。</t>
  </si>
  <si>
    <t>覃国政15278786681</t>
  </si>
  <si>
    <t>EF地块建筑具备入住条件</t>
  </si>
  <si>
    <t>1#-4#楼、13#-14#楼、16#-17#楼、20#-22#楼正在建设主体，15#楼正在建设地下室。</t>
  </si>
  <si>
    <t>完成主体建设80%</t>
  </si>
  <si>
    <t>正在建设主体。</t>
  </si>
  <si>
    <t>余海鹏07775988988</t>
  </si>
  <si>
    <t>3#、4#、16#、17#栋具备入住条件</t>
  </si>
  <si>
    <t>正在进行3#、4#、16#、17#栋主体结构施工。</t>
  </si>
  <si>
    <t>#1-#4栋具备入住条件</t>
  </si>
  <si>
    <t>1栋-4栋主体结构施工。</t>
  </si>
  <si>
    <t>正在进行封顶。</t>
  </si>
  <si>
    <t>总建筑面积8万平方米，建设GMP装修、燕商装修及生产设备。</t>
  </si>
  <si>
    <t>正在进行隔梯改造及储罐防腐。</t>
  </si>
  <si>
    <t>唐春燕
18775718533</t>
  </si>
  <si>
    <t>完成游客服务大楼建设。</t>
  </si>
  <si>
    <t>已完成备案、选址、用地预审、水土保持批复，目前正在平整土地。</t>
  </si>
  <si>
    <t xml:space="preserve">广西钦州华粤实业投资有限公司 </t>
  </si>
  <si>
    <t>朱  明  1827606668</t>
  </si>
  <si>
    <t>皇马二十路，二十二路正进行设计，十五路已完成全路段水稳层施工及水沟箱涵结构施工。</t>
  </si>
  <si>
    <t>黄开杰14797771286</t>
  </si>
  <si>
    <t>总建筑面积3.2万平方米，建设标准厂房4幢，配套道路5公里。</t>
  </si>
  <si>
    <t>完成纵一路200米、进园大道400米铺设，标准厂房正在做基础打桩。</t>
  </si>
  <si>
    <t>高压线路未迁移，3#厂房、4#厂房、纵三路、景观大道场地未平整。</t>
  </si>
  <si>
    <t>引水隧洞完成开挖8712米，小西江基本完成河道疏浚，沙坪河疏浚工程已开工，那庆河引水工程已开始营地取土回填。</t>
  </si>
  <si>
    <t>用地指标及用地规划的调整问题，建设资金缺口约为2.14亿元，穿越天然气管道、通信光缆、钦陆一级公路等问题。</t>
  </si>
  <si>
    <t>韦挺洪13597111122</t>
  </si>
  <si>
    <t>完成《钦州渔港经济区概念规划》、犀牛脚中心渔港扩建工程一期项目突堤码头项目工程设计等前期工作。</t>
  </si>
  <si>
    <t>钦州渔港监督处</t>
  </si>
  <si>
    <t>吴森华
13877721113</t>
  </si>
  <si>
    <t>牧渔业</t>
  </si>
  <si>
    <t>完成龟谷文化广场水池的开挖和硬底化，正在平整广场、修整广场假山，开挖培训楼基础。</t>
  </si>
  <si>
    <t>陈兴权13907777829</t>
  </si>
  <si>
    <t>已养殖大蚝1000亩，交易中心大厦已完成1.4万平方米主体工程外装修，停车场20亩。</t>
  </si>
  <si>
    <t>淡水管网未建设，休闲旅游用地未解决，资金紧缺。</t>
  </si>
  <si>
    <t>罗辉13707718428</t>
  </si>
  <si>
    <t>正在进行二期熊猫雷笋生态种植。</t>
  </si>
  <si>
    <t>资金紧缺。</t>
  </si>
  <si>
    <t>李祥明17502317331</t>
  </si>
  <si>
    <t>已开工10.8公里，完成4.8公里标准海堤建设，累计完成90%。</t>
  </si>
  <si>
    <t>钦州市钦南区海河堤管理站</t>
  </si>
  <si>
    <t>郑新13907876108</t>
  </si>
  <si>
    <t>开工建设11.8公里，已完成5公里建设；完成6.8公里外坡、坝体填土、涵闸等工程建设。</t>
  </si>
  <si>
    <t>资金缺口1218万元。</t>
  </si>
  <si>
    <t>正在建设溢洪道及大坝。</t>
  </si>
  <si>
    <t>石永贵13317771538</t>
  </si>
  <si>
    <t>完成围墙、猪圈、办公楼等建设。</t>
  </si>
  <si>
    <t>韦张平18807771608</t>
  </si>
  <si>
    <t>彭艳丽
13877726550</t>
  </si>
  <si>
    <t>已完成立项、可研、初设、施工图，已完成土地平整、围墙和施工便道建设。</t>
  </si>
  <si>
    <t>资金缺口大。</t>
  </si>
  <si>
    <t>请求协助向自治区发改委申请服务业补助资金2000万元，申请专项债券6800万元。</t>
  </si>
  <si>
    <t>邓嘉琳
15978179849</t>
  </si>
  <si>
    <t>开始挖地下通道。</t>
  </si>
  <si>
    <t>唐海清17777030009</t>
  </si>
  <si>
    <t>1#楼已封顶，2#、3#、5#楼地下室施工。</t>
  </si>
  <si>
    <t>龚勇文
15807878999</t>
  </si>
  <si>
    <t>完成汽车检测中心建设。</t>
  </si>
  <si>
    <t>已完成征地145亩和清表工作，已平整土地约142亩。</t>
  </si>
  <si>
    <t>约333亩用地指标未落实。</t>
  </si>
  <si>
    <t>已建成种植区、采摘区、养殖区、烧烤区、垂钓区等多种休闲娱乐功能设施。</t>
  </si>
  <si>
    <t>何升亮13307774400</t>
  </si>
  <si>
    <t>已完成盘山公路建设。</t>
  </si>
  <si>
    <t>黄涛13737778963</t>
  </si>
  <si>
    <t>三级路开挖6.5公里路基，大雄宝殿、石屋、无边际餐厅正在装修。</t>
  </si>
  <si>
    <t>林地指标，用地指标，征地进度慢。</t>
  </si>
  <si>
    <t>已编制上报总规，等待土建土地指标调整审批。山地种植作物100亩，平整环水域道路路基，铺设园区内的道路。</t>
  </si>
  <si>
    <t>存在征拆和土地指标审批问题。</t>
  </si>
  <si>
    <t>浦北县龙门镇政府</t>
  </si>
  <si>
    <t>温庆
13978840588</t>
  </si>
  <si>
    <t>已完成项目设计，以及一期综合服务区游客中心、三级公路等建设。</t>
  </si>
  <si>
    <t>土地指标与资金问题。</t>
  </si>
  <si>
    <t>韦立里
13807770936</t>
  </si>
  <si>
    <t>一期1#楼主体已封顶、裙楼5层封顶，正在进行结构二次施工及砌筑。</t>
  </si>
  <si>
    <t>主体施工已完成，正在开展创业创新平台建设。</t>
  </si>
  <si>
    <t>资金短缺。</t>
  </si>
  <si>
    <t>包创作13367775968</t>
  </si>
  <si>
    <t>已建成医疗影像大数据存储服务中心1个，影像诊断中心3个、业务节点3个。</t>
  </si>
  <si>
    <r>
      <rPr>
        <sz val="11"/>
        <rFont val="宋体"/>
        <charset val="134"/>
      </rPr>
      <t>1</t>
    </r>
    <r>
      <rPr>
        <sz val="11"/>
        <rFont val="宋体"/>
        <charset val="134"/>
      </rPr>
      <t>.</t>
    </r>
    <r>
      <rPr>
        <sz val="11"/>
        <rFont val="宋体"/>
        <charset val="134"/>
      </rPr>
      <t xml:space="preserve">灵山县和浦北县医疗机构接入问题；
</t>
    </r>
    <r>
      <rPr>
        <sz val="11"/>
        <rFont val="宋体"/>
        <charset val="134"/>
      </rPr>
      <t>2.落实</t>
    </r>
    <r>
      <rPr>
        <sz val="11"/>
        <rFont val="宋体"/>
        <charset val="134"/>
      </rPr>
      <t>云计算和大数据产业补贴。</t>
    </r>
  </si>
  <si>
    <t>权大洋18336467967</t>
  </si>
  <si>
    <t>已开展“三通一平”。</t>
  </si>
  <si>
    <t>黑山河的改道问题。嘉兴街通路及周边道路的市政、正式用水和用电、煤气等管网配套问题。</t>
  </si>
  <si>
    <t>刘齐
18677900977</t>
  </si>
  <si>
    <t>正在进行主体一层施工。</t>
  </si>
  <si>
    <t>缺口资金5500万元。</t>
  </si>
  <si>
    <t>建设资金缺口5500万元。</t>
  </si>
  <si>
    <t>陈钢18107772860</t>
  </si>
  <si>
    <t>正在开展主体工程施工。</t>
  </si>
  <si>
    <t>项目资金链出现问题。</t>
  </si>
  <si>
    <t>王卿木13907796279</t>
  </si>
  <si>
    <t>项目后续资金不足</t>
  </si>
  <si>
    <t>2个项目正在建设主体，2个项目完成招标。</t>
  </si>
  <si>
    <t>冯永鑫18977746522</t>
  </si>
  <si>
    <t>已完成教学楼的建设。</t>
  </si>
  <si>
    <t>没有土地指标，资金缺额大。</t>
  </si>
  <si>
    <t>易思远13677777515</t>
  </si>
  <si>
    <t>完成主体框架建设</t>
  </si>
  <si>
    <t>新区初中部教学在建基础。</t>
  </si>
  <si>
    <t>征地范围内还有200多座坟没有搬迁。</t>
  </si>
  <si>
    <t>刘长春
13507776617</t>
  </si>
  <si>
    <t>三幢学生宿舍楼已建好地下室，其中两栋已封顶。三幢教学楼已建好地下室并已封顶。</t>
  </si>
  <si>
    <t>黎雪珍18077719456</t>
  </si>
  <si>
    <t>新建校舍5.6万平方米及辅属工程。</t>
  </si>
  <si>
    <t>杨子志15107870444</t>
  </si>
  <si>
    <t>总建筑面积3.2万平方米，建设教学综合楼、食堂、学生宿舍楼等，以及购置一批教学设备。</t>
  </si>
  <si>
    <t>大部分项目完工及完成设备采购。</t>
  </si>
  <si>
    <t>15个基建项目全部开工，其中4个已竣工，6个在建基础，5个在建主体；设备正在组织采购。</t>
  </si>
  <si>
    <t>何波18177799696</t>
  </si>
  <si>
    <t>完成2#主体工程建设，1#完成竣工验收。</t>
  </si>
  <si>
    <t>一号楼完成三层楼底面板，二号楼地下室支护桩完成75%。</t>
  </si>
  <si>
    <t>梁佩仲
13877709360
宁森全13457756666</t>
  </si>
  <si>
    <t>正在清表。</t>
  </si>
  <si>
    <t>征地未完成。</t>
  </si>
  <si>
    <t>吴昕烨13616844333</t>
  </si>
  <si>
    <t>已完成了1号楼地下室施工。</t>
  </si>
  <si>
    <t>黎世梦13517570765</t>
  </si>
  <si>
    <t>钦州市2019年总投资1000万元以上重点建设项目责任表
（计划竣工项目）</t>
  </si>
  <si>
    <t>产业项目、基础设施项目</t>
  </si>
  <si>
    <t>计划竣工
时间</t>
  </si>
  <si>
    <t>年度计划
投资</t>
  </si>
  <si>
    <t>焙浸车间建设主体，完成成品车间、硫酸钠车间基础施工，质量分析中心、技术研发中心正在进行基础施工。</t>
  </si>
  <si>
    <t>郑天星
13907870405</t>
  </si>
  <si>
    <t>正在建设吡啶单元，精制单元的框架结构。</t>
  </si>
  <si>
    <t>徐大鹏18076666016</t>
  </si>
  <si>
    <t>邹掌征18680290208</t>
  </si>
  <si>
    <t>一期主体工程已完成竣工验收。二期工程1#～8#栋厂房已全部封顶，11#～13#正在进行主体施工。</t>
  </si>
  <si>
    <t>公司股东出资不到位、资本金紧张。</t>
  </si>
  <si>
    <t>一期2、3层已经投产，4、5层正在装修。</t>
  </si>
  <si>
    <t>目前企业已正常生产，产能每月30万个。</t>
  </si>
  <si>
    <t>陈正永13868709666</t>
  </si>
  <si>
    <t>建筑面积1.9万平方米，建设年产1200吨烘焙产品（面包、蛋糕类）、600吨季节性中秋月饼、600吨地方特色旅游食品生产线。</t>
  </si>
  <si>
    <t>农耀武18677733831</t>
  </si>
  <si>
    <t>胡德荣13387770758</t>
  </si>
  <si>
    <t>正在进行厂房装修，洁净车间通风系统布设中。</t>
  </si>
  <si>
    <t>白冰13811241121</t>
  </si>
  <si>
    <t>统计库已提前报完投资数。</t>
  </si>
  <si>
    <t>已签订协议及开展环评等前期工作，设备已完成安装，并正在调试。</t>
  </si>
  <si>
    <t>潘阳振
13878688833</t>
  </si>
  <si>
    <t>已签订投资协议，现正开展项目备案、环评等前期工作，设备已完成安装，并开始环保设备生产。</t>
  </si>
  <si>
    <t>颜朗18907774818</t>
  </si>
  <si>
    <r>
      <rPr>
        <sz val="11"/>
        <rFont val="宋体"/>
        <charset val="134"/>
      </rPr>
      <t>建筑面积7</t>
    </r>
    <r>
      <rPr>
        <sz val="11"/>
        <rFont val="宋体"/>
        <charset val="134"/>
      </rPr>
      <t>197平方米，建设电子商务平台示范点、牡蛎研究所、牡蛎压片糖果、蛋白质粉固体饮料生产线等及相关配套设施。</t>
    </r>
  </si>
  <si>
    <t>覃春兰13878882555</t>
  </si>
  <si>
    <t>基本建成一条生产线，购置车辆10辆及泵车2辆。</t>
  </si>
  <si>
    <t>办公网络未通。</t>
  </si>
  <si>
    <t>钟  明15078898176</t>
  </si>
  <si>
    <t>厂房已建成。</t>
  </si>
  <si>
    <t>王周滨13850559977</t>
  </si>
  <si>
    <t>正在落实项目用地。</t>
  </si>
  <si>
    <t>陈文幸13902304618</t>
  </si>
  <si>
    <t>高新建1867729222</t>
  </si>
  <si>
    <t>张镇铭13926712798</t>
  </si>
  <si>
    <t>已完成干湿米粉生产线的建设。</t>
  </si>
  <si>
    <t>利佰庆15278789988</t>
  </si>
  <si>
    <t>韦昌波13387771333</t>
  </si>
  <si>
    <t>林长利13799383355</t>
  </si>
  <si>
    <t>三、四车间已经建设完成，准备安装机械设备。</t>
  </si>
  <si>
    <t>土地内有坟山，电线杆电线未能迁移问题。</t>
  </si>
  <si>
    <t>杨  阳
18677996399</t>
  </si>
  <si>
    <t>完成厂房建设和部分设备购置。</t>
  </si>
  <si>
    <t>张焕燃
13877917988</t>
  </si>
  <si>
    <t>一车间已经竣工生产。</t>
  </si>
  <si>
    <t>拆迁未完成，有2幢违建房需要拆除，有一家木片厂要迁移。</t>
  </si>
  <si>
    <t>莫维庆13707898950</t>
  </si>
  <si>
    <t>厂房已经完成建设，完成机械设备购置，正在安装机械设施。</t>
  </si>
  <si>
    <t>劳启航15777080196</t>
  </si>
  <si>
    <t>土建工程基本完成，主机设备安装已完成，具备分系统调试条件。</t>
  </si>
  <si>
    <t>李鹏飞  13993842701</t>
  </si>
  <si>
    <t>曾极18578993925</t>
  </si>
  <si>
    <t>完成了主体工程，进入机械设备安装阶段。</t>
  </si>
  <si>
    <t xml:space="preserve">
无
</t>
  </si>
  <si>
    <t>宗士林18963093778</t>
  </si>
  <si>
    <t xml:space="preserve">已完成32台风机基础浇筑、4台风机吊装，已成功连网试运行一台风机。    </t>
  </si>
  <si>
    <t>存在坟山迁移和土地争议问题，村民阻拦施工。</t>
  </si>
  <si>
    <t xml:space="preserve">灵山县宇阳风电有限公司 </t>
  </si>
  <si>
    <t>张云川18178762846</t>
  </si>
  <si>
    <t>完成了20公里场内施工道路建设、22台风机基础浇筑、15台风机吊装等工作。</t>
  </si>
  <si>
    <t>已清淤3098万立方米。</t>
  </si>
  <si>
    <t>已完成3#-4#泊位后方集装箱堆场改造施工，正在开展5#泊位后方堆场改造。</t>
  </si>
  <si>
    <t>梁恒溢15977762617</t>
  </si>
  <si>
    <t>已竣工。</t>
  </si>
  <si>
    <t>路基工程累计完成73%，桥涵工程累计完成63%，路面工程完成5%。</t>
  </si>
  <si>
    <t>建设用地报批材料滞后，原材料紧张。</t>
  </si>
  <si>
    <t>罗凯
13152686677</t>
  </si>
  <si>
    <t>灵山县县乡公路所</t>
  </si>
  <si>
    <t>陈强13737759000</t>
  </si>
  <si>
    <t>北通至五皇山景区三级公路清表13公里，动工8公里路基。五皇山至越州天湖全线路基清表6公里。</t>
  </si>
  <si>
    <t>北通至五皇山公路征地、迁坟、迁杆工作未完成。</t>
  </si>
  <si>
    <t>丁承日13907772891</t>
  </si>
  <si>
    <t>一期工程已完成清淤量约5.6万立方米，管道安装3820米，河道硬化修复约3500米。二期工程正在进行EPC招标工作。</t>
  </si>
  <si>
    <t>何杭海
18177778266</t>
  </si>
  <si>
    <r>
      <rPr>
        <sz val="11"/>
        <rFont val="宋体"/>
        <charset val="134"/>
      </rPr>
      <t>1</t>
    </r>
    <r>
      <rPr>
        <sz val="11"/>
        <rFont val="宋体"/>
        <charset val="134"/>
      </rPr>
      <t>2</t>
    </r>
    <r>
      <rPr>
        <sz val="11"/>
        <rFont val="宋体"/>
        <charset val="134"/>
      </rPr>
      <t>月</t>
    </r>
  </si>
  <si>
    <t>韦海清13297779881</t>
  </si>
  <si>
    <t>共完成管道建设4386米。</t>
  </si>
  <si>
    <t>施工范围内地下管线较多，需协调项目地下管线所属单位进行管线的指定确认。南珠东大街南侧排水管网距离国防光缆较近问题。</t>
  </si>
  <si>
    <t>谢田18777726788</t>
  </si>
  <si>
    <t xml:space="preserve">河西污水处理厂提标改造工程 </t>
  </si>
  <si>
    <t>谢俊
18677766049</t>
  </si>
  <si>
    <t>陈瑜13517576122</t>
  </si>
  <si>
    <t xml:space="preserve">平睦污水处理厂主体建设、道路硬化及绿化、设备安装已完成，已达到试水运行条件。官垌、六硍厂区用地已征地。 </t>
  </si>
  <si>
    <t>K1+440~K1+981段完成排水箱涵及土方施工，大榄江以南段已完成K0+750~K1+040段人行道及沥青路面施工。</t>
  </si>
  <si>
    <t>道路范围内尖山街道办尖山社区沙东、沙西两队34户未拆除，暂无资金支付。</t>
  </si>
  <si>
    <t>1.建设资金缺口1000万元；
2.彭屋沟安置点未开工建设。
3、因工期严重超期，施工单位要求对已施工路段进行完工验收。</t>
  </si>
  <si>
    <t>正在建设道路工程。</t>
  </si>
  <si>
    <t>已完成送变电工程及55台配变电的建设。</t>
  </si>
  <si>
    <t>变电站投运，110千伏高公线已投运。</t>
  </si>
  <si>
    <t>政府建设管沟已完工，但未完成验收，西门街电缆中间井长度不够。</t>
  </si>
  <si>
    <t>已完成变电站建设，110千伏排丽线路已完成验收。油路至丽光110千伏线路在建。</t>
  </si>
  <si>
    <t>110千伏油丽线杆塔基础施工、青赔受阻。</t>
  </si>
  <si>
    <t>已完成12基塔基础浇筑，转入组塔阶段。</t>
  </si>
  <si>
    <t>已经开工210个工程，完工147个工程。</t>
  </si>
  <si>
    <t>110千伏荔香三多送变电站已完工。</t>
  </si>
  <si>
    <t>110千伏架空线路需要改电缆，灵山县市政电缆管沟规模建设方案未确定，影响可研调整。</t>
  </si>
  <si>
    <t>已完成建设10kV配变62台、10kV线路39公里。</t>
  </si>
  <si>
    <t>钦南区黄屋屯供销社等7个危旧房改造项目已开工建设。</t>
  </si>
  <si>
    <t>钦南区卫生院、供销社等</t>
  </si>
  <si>
    <t>黄永亮13471703667</t>
  </si>
  <si>
    <t>邓程昌
13457745705</t>
  </si>
  <si>
    <t>完成改造37座。</t>
  </si>
  <si>
    <t>莫盛裕13877762069</t>
  </si>
  <si>
    <t>已经建设完成10幢楼房，其中有5幢楼装修好外墙，另5幢已经封顶正在装修。</t>
  </si>
  <si>
    <t>丁承裕
13907773640</t>
  </si>
  <si>
    <t>已完成粗格栅及提升泵站、调节池等9个单体主体工程，完成管道铺设1280米。</t>
  </si>
  <si>
    <t>大榄坪一号路北段工程已竣工；大榄坪二号路北段（二期）、大榄坪第一街基本完工；第三大街完成水稳层、金鼓外环路西段完成50%路面施工及75%的路基施工、大榄坪三号路北段（二期）60%的路基施工。</t>
  </si>
  <si>
    <t>征地搬迁遗留问题。</t>
  </si>
  <si>
    <t>路基、桥梁下部结构全部完成，跨线桥梁上部结构完成100%，跨江桥上部结构完成70%。</t>
  </si>
  <si>
    <t>中马将总投资修改为7.4亿元，年度计划投资修改为1亿元。</t>
  </si>
  <si>
    <r>
      <rPr>
        <sz val="11"/>
        <rFont val="宋体"/>
        <charset val="134"/>
      </rPr>
      <t>1</t>
    </r>
    <r>
      <rPr>
        <sz val="11"/>
        <rFont val="宋体"/>
        <charset val="134"/>
      </rPr>
      <t>1</t>
    </r>
    <r>
      <rPr>
        <sz val="11"/>
        <rFont val="宋体"/>
        <charset val="134"/>
      </rPr>
      <t>月</t>
    </r>
  </si>
  <si>
    <t>路基工程完成95%，排水工程完成95%，桥梁工程完成40%。</t>
  </si>
  <si>
    <t>路基工程完成95%，排水工程完成95%。</t>
  </si>
  <si>
    <r>
      <rPr>
        <sz val="11"/>
        <rFont val="宋体"/>
        <charset val="134"/>
      </rPr>
      <t>1</t>
    </r>
    <r>
      <rPr>
        <sz val="11"/>
        <rFont val="宋体"/>
        <charset val="134"/>
      </rPr>
      <t>2月</t>
    </r>
  </si>
  <si>
    <t>金海湾东大街至南珠东大街段正在进行主体施工，南珠东大街至鸿亭街段已完工。</t>
  </si>
  <si>
    <t>金海湾东大街至南珠东大街红线范围内涉及60亩土地及8栋房屋未征收，需安置15户86人。</t>
  </si>
  <si>
    <t>除剩余2018年中央资金200万元外，其他资金尚未落实，开投建议调整为续建项目，年度投资1000万元。</t>
  </si>
  <si>
    <t>总长980米，其中其中880米已铺好水稳层、100米正在进行路床修整。</t>
  </si>
  <si>
    <t>洪宇光18277730724</t>
  </si>
  <si>
    <t>850米已竣工通车。</t>
  </si>
  <si>
    <t>已完成变电站建设，线路完成50%基础建设。</t>
  </si>
  <si>
    <t>杆塔基础施工受阻，工业园道路部分塔位标高不符合施工条件。</t>
  </si>
  <si>
    <t>累计完成平整土地约1490亩，完成挖土石方约100万立方米、清淤泥5万立方米。</t>
  </si>
  <si>
    <t>征拆未完成。</t>
  </si>
  <si>
    <t>温享建13977796388</t>
  </si>
  <si>
    <t>已完成工程建设85%。</t>
  </si>
  <si>
    <t>翁仿锦13877793718</t>
  </si>
  <si>
    <t>防洪标准为10年一遇，治理河长2.6公里，新建防洪堤总长1.7公里，新建护岸长
2.6公里。</t>
  </si>
  <si>
    <t>苏政敢13877756678</t>
  </si>
  <si>
    <t>防洪标准为10年一遇，治理河长3.8公里，新建防洪堤总长1.2公里，新建护岸长
2.2公里。</t>
  </si>
  <si>
    <t>完成工程量的30.5%，已完成社根村委周边9条村屯硬化路共1640米，开挖村田间道路10条4452米，正在做涵洞及盖板涵。</t>
  </si>
  <si>
    <t>受价格影响，砂石材料供应不上，影响施工进度。</t>
  </si>
  <si>
    <t>浦北县土地开垦整理中心</t>
  </si>
  <si>
    <t>覃耀金18977728855</t>
  </si>
  <si>
    <t>李喜明
13807838824</t>
  </si>
  <si>
    <t>项目尚未取得施工许可证。</t>
  </si>
  <si>
    <t>饶远业
13517788618</t>
  </si>
  <si>
    <t>交易市场主体已完成装修。</t>
  </si>
  <si>
    <t>黄泳钦13607774549</t>
  </si>
  <si>
    <t>完成接待中心建设。</t>
  </si>
  <si>
    <t>符佑达13877774447</t>
  </si>
  <si>
    <t>杨凯18277777007</t>
  </si>
  <si>
    <t>已完成主体封顶，正在进行孵化大楼室内装修和幕墙建设。</t>
  </si>
  <si>
    <t>存在约3000万元的资金缺口。</t>
  </si>
  <si>
    <t>累计完成投资5907万元，2019年财政安排400万元，项目建成资金缺口1417万元。</t>
  </si>
  <si>
    <t>钟斌然
18677795655</t>
  </si>
  <si>
    <t>资金不足，工程进度缓慢。</t>
  </si>
  <si>
    <t>胡善正 13768178338</t>
  </si>
  <si>
    <t>完成11个镇和城区学校新建教学辅助用房主体建设，完成11个镇运动场改造。</t>
  </si>
  <si>
    <t>部分征地问题</t>
  </si>
  <si>
    <t>已完成7层梁模板安装。</t>
  </si>
  <si>
    <t>刘  颖18277788989</t>
  </si>
  <si>
    <t>宁尔凡 13557777785</t>
  </si>
  <si>
    <t>完成主体工程。</t>
  </si>
  <si>
    <t>蔡汶余15207878868</t>
  </si>
  <si>
    <t xml:space="preserve"> </t>
  </si>
  <si>
    <t>钦州市2019年总投资1000万元以上重点建设项目汇总表
（按行业分）</t>
  </si>
  <si>
    <t>行业类别</t>
  </si>
  <si>
    <t>项目
个数</t>
  </si>
  <si>
    <t xml:space="preserve">总投资  </t>
  </si>
  <si>
    <t>到2018年底完成投资</t>
  </si>
  <si>
    <t>2019年计划投资</t>
  </si>
  <si>
    <t>占比</t>
  </si>
  <si>
    <t>1-10月完成投资合计</t>
  </si>
  <si>
    <t>完成进度</t>
  </si>
  <si>
    <t>计划新开工项目</t>
  </si>
  <si>
    <t>续建项目</t>
  </si>
  <si>
    <t>计划竣工项目</t>
  </si>
  <si>
    <t>个数</t>
  </si>
  <si>
    <t>投资占比</t>
  </si>
  <si>
    <t>1-10月完成投资</t>
  </si>
  <si>
    <t>1-10月开工项目个数</t>
  </si>
  <si>
    <t>开工率</t>
  </si>
  <si>
    <t>续建竣工项目个数</t>
  </si>
  <si>
    <t>1-10月竣工项目个数</t>
  </si>
  <si>
    <t>竣工率</t>
  </si>
  <si>
    <t>合计</t>
  </si>
  <si>
    <t>南北区</t>
  </si>
  <si>
    <t>供电局</t>
  </si>
  <si>
    <t>航空</t>
  </si>
  <si>
    <t>林业</t>
  </si>
  <si>
    <t>表2：</t>
  </si>
  <si>
    <t>钦州市2019年总投资1000万元以上项目汇总表
（按责任单位分）</t>
  </si>
  <si>
    <t>单位名称</t>
  </si>
  <si>
    <t>县区及园区管委</t>
  </si>
  <si>
    <t>钦南区人民政府（含双牵头）</t>
  </si>
  <si>
    <t>钦北区人民政府（含双牵头）</t>
  </si>
  <si>
    <t>钦州港区管委（含双牵头）</t>
  </si>
  <si>
    <t>中马钦州产业园区管委（含双牵头）</t>
  </si>
  <si>
    <t>钦州高新区管委（含双牵头）</t>
  </si>
  <si>
    <t>市滨海新城管委（含双牵头）</t>
  </si>
  <si>
    <t>双牵头部门</t>
  </si>
  <si>
    <t>钦州高新区管委、钦南区人民政府</t>
  </si>
  <si>
    <t>市交通运输局、钦南区人民政府</t>
  </si>
  <si>
    <t>市城管执法局、钦南区人民政府、钦北区人民政府</t>
  </si>
  <si>
    <t>市城管执法局、钦南区人民政府</t>
  </si>
  <si>
    <t>市城管执法局、钦北区人民政府</t>
  </si>
  <si>
    <t>市直部门及有关单位</t>
  </si>
  <si>
    <t>市交通运输局（含双牵头）</t>
  </si>
  <si>
    <t>北部湾港口管理局钦州分局（含双牵头）</t>
  </si>
  <si>
    <t>市住建局（含双牵头）</t>
  </si>
  <si>
    <t>市石化产业发展局</t>
  </si>
  <si>
    <t>市石化局（含双牵头）</t>
  </si>
  <si>
    <t>市城管执法局（含双牵头）</t>
  </si>
  <si>
    <t>市教育局（含双牵头）</t>
  </si>
  <si>
    <t>市人防海防办</t>
  </si>
  <si>
    <t>平台公司</t>
  </si>
  <si>
    <t>市开投水务公司</t>
  </si>
  <si>
    <t>市河东公司</t>
  </si>
  <si>
    <t>钦州恒远交通投资有限公司</t>
  </si>
  <si>
    <t>钦州市建恒森林建设投资有限公司</t>
  </si>
  <si>
    <t>钦州市旅游投资有限公司</t>
  </si>
  <si>
    <t>其他园区及市直部门</t>
  </si>
  <si>
    <t>钦州市2019年总投资1000万元以上项目汇总表
（按项目类别分）</t>
  </si>
  <si>
    <t>产业类项目</t>
  </si>
  <si>
    <t>基础设施类项目</t>
  </si>
  <si>
    <t>民生保障类项目</t>
  </si>
  <si>
    <t>市交通运输局、钦南区人民政府、钦北区人民政府</t>
  </si>
  <si>
    <t>市铁建办、中马钦州产业园区管委</t>
  </si>
  <si>
    <t>市林业局</t>
  </si>
  <si>
    <t>市土地储备中心</t>
  </si>
  <si>
    <t>市食品药品监管局</t>
  </si>
  <si>
    <t>市人社局</t>
  </si>
  <si>
    <t>钦州学院</t>
  </si>
  <si>
    <t>市旅发委</t>
  </si>
  <si>
    <t>市教育局</t>
  </si>
  <si>
    <t>钦州市公安消防支队</t>
  </si>
  <si>
    <t>市口岸办</t>
  </si>
  <si>
    <t>钦州市2019年总投资1000万元以上项目汇总表
（按资金来源分）</t>
  </si>
  <si>
    <t>政府投资项目</t>
  </si>
  <si>
    <t>企业投资项目</t>
  </si>
  <si>
    <t>2019年1—  月钦州市投资和重大项目建设工作台账（分县区园区）</t>
  </si>
  <si>
    <t>金额单位：亿元</t>
  </si>
  <si>
    <t>地  区</t>
  </si>
  <si>
    <t>统计用地区名称</t>
  </si>
  <si>
    <t>列入市级层面统筹推进重大项目情况</t>
  </si>
  <si>
    <t>1- 月完成投资快报</t>
  </si>
  <si>
    <t>投资完成情况（亿元）</t>
  </si>
  <si>
    <t>项目开工情况（个）</t>
  </si>
  <si>
    <t>项目竣工情况（个）</t>
  </si>
  <si>
    <t>项目融资情况（亿元）</t>
  </si>
  <si>
    <t>总量</t>
  </si>
  <si>
    <t>同比增长（%）</t>
  </si>
  <si>
    <t>累计完成投资</t>
  </si>
  <si>
    <t>完成进度（%）</t>
  </si>
  <si>
    <t>计划开工</t>
  </si>
  <si>
    <t>累计开工</t>
  </si>
  <si>
    <t>开工率（%）</t>
  </si>
  <si>
    <t>未按计划开工</t>
  </si>
  <si>
    <t>计划竣工</t>
  </si>
  <si>
    <t>累计竣工</t>
  </si>
  <si>
    <t>竣工率（%）</t>
  </si>
  <si>
    <t>未按计划竣工</t>
  </si>
  <si>
    <t>项目数</t>
  </si>
  <si>
    <t>已落解决</t>
  </si>
  <si>
    <t>已落实资金</t>
  </si>
  <si>
    <t>资金缺口</t>
  </si>
  <si>
    <t>总计</t>
  </si>
  <si>
    <t>一、县区</t>
  </si>
  <si>
    <t>钦州港区</t>
  </si>
  <si>
    <t>民生</t>
  </si>
  <si>
    <t>合计1</t>
  </si>
  <si>
    <t>合计2</t>
  </si>
  <si>
    <t>合计3</t>
  </si>
  <si>
    <t>合计4</t>
  </si>
  <si>
    <t>二、园区</t>
  </si>
  <si>
    <t>中马园区</t>
  </si>
  <si>
    <t>钦州保税港区</t>
  </si>
  <si>
    <t>三娘湾管理区</t>
  </si>
  <si>
    <t>三、市直部门</t>
  </si>
  <si>
    <t>四、双牵头部门</t>
  </si>
  <si>
    <t>钦南区、钦北区</t>
  </si>
  <si>
    <t>高新区、钦南区</t>
  </si>
  <si>
    <t>市住房城乡建设局、钦南区、钦北区</t>
  </si>
  <si>
    <t>市住房城乡建设局、钦南区人民政府、钦北区人民政府</t>
  </si>
  <si>
    <t>市交通运输局、钦南区</t>
  </si>
  <si>
    <t>市交通运输局、保税港、钦州港</t>
  </si>
  <si>
    <t>市城管执法局、钦南区</t>
  </si>
  <si>
    <t>市城管执法局、钦北区</t>
  </si>
  <si>
    <t>北部湾港口管理局钦州分局、钦州港区</t>
  </si>
  <si>
    <t>市石化产业发展局、钦州港区</t>
  </si>
  <si>
    <t>市交通运输局、钦州港区</t>
  </si>
  <si>
    <t>市教育局、滨海新城</t>
  </si>
  <si>
    <t>市委党校、滨海新城</t>
  </si>
  <si>
    <t>2019年1—  月钦州市投资和重大项目建设工作台账（分行业）</t>
  </si>
  <si>
    <t>行  业</t>
  </si>
  <si>
    <t>统计用行业名称</t>
  </si>
  <si>
    <t>一、工业</t>
  </si>
  <si>
    <t>二、交通</t>
  </si>
  <si>
    <t>1.公路</t>
  </si>
  <si>
    <t>2.水运</t>
  </si>
  <si>
    <t>3.铁路</t>
  </si>
  <si>
    <t>三、市政设施</t>
  </si>
  <si>
    <t>1.城市路网</t>
  </si>
  <si>
    <t>2.其他市政设施</t>
  </si>
  <si>
    <t>四、房地产</t>
  </si>
  <si>
    <t>五、商贸流通</t>
  </si>
  <si>
    <t>六、社会事业</t>
  </si>
  <si>
    <t>1.教育</t>
  </si>
  <si>
    <t>2.卫生</t>
  </si>
  <si>
    <t>3.文化</t>
  </si>
  <si>
    <t>七、农林水牧渔</t>
  </si>
  <si>
    <t>1.农业</t>
  </si>
  <si>
    <t>2.林业</t>
  </si>
  <si>
    <t>3.水利</t>
  </si>
  <si>
    <t>4.畜牧业+渔业</t>
  </si>
  <si>
    <t>八、其他</t>
  </si>
  <si>
    <t>钦州市2019年总投资5000万元以上重点建设项目计划表
（删除项目）</t>
  </si>
  <si>
    <t>请求协调解决具体事项</t>
  </si>
  <si>
    <t>中马钦州产业园区新能源电动汽车研发生产项目</t>
  </si>
  <si>
    <t>建设年产20万辆纯电动乘用车生产线及配套设施，一期产能6万辆。</t>
  </si>
  <si>
    <t>2019年5月</t>
  </si>
  <si>
    <t>目前项目已备案，正在准备进行土地招拍挂。</t>
  </si>
  <si>
    <t>帝亚一维新能源汽车公司</t>
  </si>
  <si>
    <t xml:space="preserve">田采洁  18010058526  </t>
  </si>
  <si>
    <t>工业科建议删除</t>
  </si>
  <si>
    <t>浦北县北通至三合二级公路</t>
  </si>
  <si>
    <t>二级公路，全长15公里，宽12米。</t>
  </si>
  <si>
    <t>正在对接用地指标。</t>
  </si>
  <si>
    <t>重点办建议删除</t>
  </si>
  <si>
    <t>钦州东站至三墩铁路支线</t>
  </si>
  <si>
    <t>国铁Ⅰ级，全长40.72公里，设计时速为120公里，设计车站点5个。</t>
  </si>
  <si>
    <t>尚未确定</t>
  </si>
  <si>
    <t>完成可研并通过专家评审，正在开展环评、水保、压矿，节能和社会稳定风险评估工作。</t>
  </si>
  <si>
    <t>自治区未确定业主。</t>
  </si>
  <si>
    <t>资金、指标</t>
  </si>
  <si>
    <t>钦州康熙岭200MW（一期60MW）渔光互补光伏电站项目</t>
  </si>
  <si>
    <t>建设60MWp光伏发电系统。</t>
  </si>
  <si>
    <t>已并网55MW。</t>
  </si>
  <si>
    <t>18年建成，建议删除</t>
  </si>
  <si>
    <t>钦港线与钦州港至大榄坪</t>
  </si>
  <si>
    <t>全线长约1公里，建设地址在钦港线与钦大线交接处，该项目是中新互联互通南向通道主要线路之一。</t>
  </si>
  <si>
    <t>已动工建设。</t>
  </si>
  <si>
    <t>删除</t>
  </si>
  <si>
    <t>钦州至钦州港至中马钦州产业园区轨道交通项目</t>
  </si>
  <si>
    <t>建设连接钦州、中马钦州产业园区、钦州港区三区的轻轨G3线，线路全长42.3公里，轻轨G3线改线轻轨串联中马园内主要分区，设计速度为70~80km/h。</t>
  </si>
  <si>
    <t>尚未开展前期工作。</t>
  </si>
  <si>
    <t>项目业主、建设方式和建设资金未落实。</t>
  </si>
  <si>
    <t xml:space="preserve">覃许江   15078736323     </t>
  </si>
  <si>
    <t>重点办、市铁建办建议删除</t>
  </si>
  <si>
    <t>中马钦州产业园区北部湾港航服务集聚区</t>
  </si>
  <si>
    <t>建筑面积约15万平方米，主要建设港航服务、港航交易、港航金融中心及物流基础设施等。</t>
  </si>
  <si>
    <t>完成项目备案，已上报项目初步选址。公司股东出资不到位、公司资本金困难。</t>
  </si>
  <si>
    <t>公司股东出资不到位、公司资本金困难。</t>
  </si>
  <si>
    <t>经对接中马园区管委、项目业主建议删除</t>
  </si>
  <si>
    <t>钦州市第四十一小学</t>
  </si>
  <si>
    <t>总建筑面积2万平方米。</t>
  </si>
  <si>
    <t>完成设计招标，2#教学综合楼招标，土方工程控制价预算，总平已批复。</t>
  </si>
  <si>
    <t>建设用地未落实。</t>
  </si>
  <si>
    <t>因建设资金和用地未落实，钦南区建议删除项目。</t>
  </si>
  <si>
    <t>钦北区妇幼保健院住院综合楼建设项目</t>
  </si>
  <si>
    <t>总建设面积23000平方米，病床280张，建设一栋地下一层、地上八层的住院综合楼。</t>
  </si>
  <si>
    <t>已完成立项、土地预审。</t>
  </si>
  <si>
    <t>地块存在纠纷。</t>
  </si>
  <si>
    <t>钦北区妇幼保健院</t>
  </si>
  <si>
    <t>林军蔚13788497170</t>
  </si>
  <si>
    <t>因项目建设资金未到位，前期工作未开展，2019年无法实现开工，钦北区建议删除。</t>
  </si>
  <si>
    <t>钦北区人民医院住院大楼建设项目</t>
  </si>
  <si>
    <t>总建筑面积5500平方米，建设病房区、ICU、病案图书室、体检部、药品检验区、透析等功能科及附属功能用房。</t>
  </si>
  <si>
    <t>钦北区人民医院</t>
  </si>
  <si>
    <t>彭明13367771188</t>
  </si>
  <si>
    <t>总建筑面积约2万平方米，建设企业总部基地、数字经济展示中心等。</t>
  </si>
  <si>
    <t>完成企业总部基地、数字经济展示中心装修建设。</t>
  </si>
  <si>
    <t>主体施工已完成，正在开展企业总部基地、数字经济展示中心的建设和装修。</t>
  </si>
  <si>
    <t>待定</t>
  </si>
  <si>
    <t>科技信息</t>
  </si>
  <si>
    <t>灵山县十里工业园至檀圩公路工程项目</t>
  </si>
  <si>
    <t>一级公路，全长4.2公里，宽24.5米。</t>
  </si>
  <si>
    <t>完成水稳层1300米，清表800米，涵洞4个，灵东干渠桥下构、箱梁，大潮江中桥2#3#桥台。</t>
  </si>
  <si>
    <t>安置地未落实，群众阻挠施工。电缆各1条、通信光缆2条未迁移。</t>
  </si>
  <si>
    <t>钟先伟13097872663</t>
  </si>
  <si>
    <t>钦州市北部湾华侨投资区城规十街</t>
  </si>
  <si>
    <t>全长1220米，红线宽15米</t>
  </si>
  <si>
    <t>已完成项目立项、勘测定界、可研编制。</t>
  </si>
  <si>
    <t>市北部湾华侨投资区管委</t>
  </si>
  <si>
    <t>其他园区</t>
  </si>
  <si>
    <t>中马钦州产业园区协鑫分布式能源项目协鑫—榄坪段110kV电力出线强电管沟工程</t>
  </si>
  <si>
    <t>新建110kV电缆井共80座，其中直线井55座，中间接头井18座，三通井2座，转角井5座。</t>
  </si>
  <si>
    <t>项目已完成备案，正在做前期设计。</t>
  </si>
  <si>
    <t>建设规模钦州港未确定。</t>
  </si>
  <si>
    <t>钦北区沿海铁路南防线电气化改造外部供电工程（小董牵引站）</t>
  </si>
  <si>
    <t>已完成10公里的线路建设。</t>
  </si>
  <si>
    <t>新建110kV线路21.48公里。</t>
  </si>
  <si>
    <t>排协线架空线路进场施工。</t>
  </si>
  <si>
    <t>排协线架空线路在犀牛脚镇征地青赔受阻；排协线、榄协线电缆部分因为电缆沟管未建成无法开工。</t>
  </si>
  <si>
    <t>钦南区2018年“全面改薄”项目</t>
  </si>
  <si>
    <t>建设教学及辅助用房13490平方米及围墙、运动场等附属工程。</t>
  </si>
  <si>
    <t>项目全部开工建设，已竣工32个子项目。</t>
  </si>
  <si>
    <t>浦北县人民医院康养综合楼附属楼及连廊</t>
  </si>
  <si>
    <t>总建筑面积约18000平方米。</t>
  </si>
  <si>
    <t>正在编制规划设计。</t>
  </si>
  <si>
    <t>浦北县人民医院</t>
  </si>
  <si>
    <t>陈小聪13977759168</t>
  </si>
  <si>
    <t>主要建设引水工程和供水工程，其中引水管长1.65公里，供水管线全长13.5公里。</t>
  </si>
  <si>
    <t>其他县区</t>
  </si>
  <si>
    <t>浦北县人民医院康养综合楼</t>
  </si>
  <si>
    <t>总建筑面积21220平方米，新建一栋10层康养综合楼。</t>
  </si>
  <si>
    <t>已完成项目立项，正在编制可研报告。</t>
  </si>
  <si>
    <t>灵山县“开元国际大酒店”商业综合体建设项目</t>
  </si>
  <si>
    <t>总建筑面积约80万平方米。</t>
  </si>
  <si>
    <t>正在进行项目总体规划。</t>
  </si>
  <si>
    <t>灵山县宏大置业有限公司</t>
  </si>
  <si>
    <t>陈春生13870498868</t>
  </si>
  <si>
    <t>钦州港恒星锰业新能源正极材料15万吨电池级硫酸锰项目</t>
  </si>
  <si>
    <t>建设15万t/a电池级硫酸锰生产线。</t>
  </si>
  <si>
    <t>广西钦州恒星锰业有限责任公司</t>
  </si>
  <si>
    <t>黄尊烈18907876088</t>
  </si>
  <si>
    <t>钦州港反馈市长不同意建设，建议删除。</t>
  </si>
  <si>
    <t>钦州港广投进口乙烷制乙烯项目</t>
  </si>
  <si>
    <t>新建年产125万吨乙烯、45万吨HDPE（高密度聚乙烯）、60万吨乙二醇、10万吨醋酸乙烯、30万吨醋酸乙烯－乙烯共聚物、36万吨烧碱、40万吨聚氯乙烯、8万吨氯乙酸的生产装置及码头仓储等相关辅助设施。</t>
  </si>
  <si>
    <t>三方战略合作框架协议已签订。</t>
  </si>
  <si>
    <t>项目原料、用地和配套码头尚未落实。</t>
  </si>
  <si>
    <t>广西投资集团有限公司</t>
  </si>
  <si>
    <t>贾元利13517802271</t>
  </si>
  <si>
    <t>钦州港东站集装箱办理站（二期）</t>
  </si>
  <si>
    <t>规划面积约5600亩，建设集装箱作业区、快货作业区、特货作业区。</t>
  </si>
  <si>
    <t>正在开展立项等前期工作。</t>
  </si>
  <si>
    <t>缺乏用海指标约5645亩。</t>
  </si>
  <si>
    <t>黄开斌13517777641</t>
  </si>
  <si>
    <t>钦州港鹰岭至石化园区铁路专用线（含金谷分区车场）</t>
  </si>
  <si>
    <t>建设铁路专用线3.7公里。</t>
  </si>
  <si>
    <t>完成项目初设批复。</t>
  </si>
  <si>
    <t>未解决用地，用地缺口145亩。</t>
  </si>
  <si>
    <t>广西玉海铁路发展有限公司</t>
  </si>
  <si>
    <t>邸金良
13077770871</t>
  </si>
  <si>
    <t>钦州港金鼓江作业区及鹰岭作业区围网项目</t>
  </si>
  <si>
    <t>对金鼓江作业区及鹰岭作业区进行围网、进出口卡口建设。</t>
  </si>
  <si>
    <t>2019年8月</t>
  </si>
  <si>
    <t>开展前期调研工作。</t>
  </si>
  <si>
    <t>用地及前期资金问题</t>
  </si>
  <si>
    <t>黄绍蓓13907879987</t>
  </si>
  <si>
    <t>市口岸办建议删除</t>
  </si>
  <si>
    <t>钦州市技工学校回迁建设项目（二期）</t>
  </si>
  <si>
    <t>总建筑面积4.29万平方米，主要建设教学楼、图书馆、学生宿舍楼、行政办公楼及运动场等相关配套设施。</t>
  </si>
  <si>
    <t>2019年6月</t>
  </si>
  <si>
    <t>已完成可研等前期工作。</t>
  </si>
  <si>
    <t>资金筹措困难。</t>
  </si>
  <si>
    <t>钦州市技工学校</t>
  </si>
  <si>
    <t>周红梅
18277719385</t>
  </si>
  <si>
    <t>钦州港进港大道疏港立交桥项目</t>
  </si>
  <si>
    <t>建设立交桥，保障火车和货车同时通过。</t>
  </si>
  <si>
    <t>现开展前期调研工作、项目立项等前期工作。</t>
  </si>
  <si>
    <t>钦州市河西片区雨污分流改造工程</t>
  </si>
  <si>
    <t>建设雨污分流排水管网共143公里、雨水检查井42座、污水检查井3067座、一体化提升泵站2座。</t>
  </si>
  <si>
    <t>已完成可研、用地批复。</t>
  </si>
  <si>
    <t>资金尚未明确。</t>
  </si>
  <si>
    <t>李柯
13788276369</t>
  </si>
  <si>
    <t>市市政管理局</t>
  </si>
  <si>
    <t>城建计划为开展前期工作</t>
  </si>
  <si>
    <t>滨海新城安州大道南段</t>
  </si>
  <si>
    <t>全长3809米，宽50米。</t>
  </si>
  <si>
    <t>已完成可研批复，正在开展方案设计和地质勘察工作。</t>
  </si>
  <si>
    <t>涉及征地拆迁，地勘无法开展工作，桥梁工程涉及钦江航道等级论证问题。</t>
  </si>
  <si>
    <t>城建计划为开展前期工作，征拆、资金难以解决</t>
  </si>
  <si>
    <t>三娘湾白海豚公园暨海洋生物繁育研究基地</t>
  </si>
  <si>
    <t>总建筑面积7万平方米，建设海洋生物繁育研究基地、南海水族馆、专家科研楼、学术交流中心、科普展示中心等。</t>
  </si>
  <si>
    <t>规划选址意见已上报市政府，正在审批。</t>
  </si>
  <si>
    <t>审批流程较慢。</t>
  </si>
  <si>
    <t>广西两江海洋生物科技有限公司</t>
  </si>
  <si>
    <t>朱正敏
18958013339</t>
  </si>
  <si>
    <t>土地难以落实，三娘湾经发局、社会科建议删除</t>
  </si>
  <si>
    <t>金海湾东大街东延长线（含黎合江环岛改造工程）</t>
  </si>
  <si>
    <t>道路主线及匝道总长7公里，其中主线长4.6公里，宽70米。</t>
  </si>
  <si>
    <t>完成I标路基土石方80%；完成II标一座桥梁、路基土石方90%。</t>
  </si>
  <si>
    <t>已完成I标黎合江环岛临时改造工程和少量土石方。II标完成4座箱涵和约45万方主线路基土石方、10万方匝道路基土石方。</t>
  </si>
  <si>
    <t>存在征拆和规划调整问题，金桔互通立交工程接入高速公路施工方案未定，建设资金尚未落实。</t>
  </si>
  <si>
    <t>伍小荣
15807779925</t>
  </si>
  <si>
    <t>市住建委、钦南区人民政府</t>
  </si>
  <si>
    <t>资金未落实，建议删除</t>
  </si>
  <si>
    <t>环城西路南段（北部湾大道至金海湾西大街）</t>
  </si>
  <si>
    <t>全长6390米，宽60米。</t>
  </si>
  <si>
    <t>完成南珠西大街英华学院段道路建设。</t>
  </si>
  <si>
    <t>至今已有2600米道路投入使用，剩余3800米正在施工。</t>
  </si>
  <si>
    <t>征拆未全部完成，建设资金尚未全部落实。</t>
  </si>
  <si>
    <t>李式平13367777154</t>
  </si>
  <si>
    <t>根据2018年12月14日城建工作协调会会议精神，英华学院段如按设计实施涉及征拆较大，费用较高（费用估算约5000-6000万），目前资金尚未落实，影响项目推进。为保障市民出行，建议按道路现状维修使用，2019年城建计划已删除该项目，另列环城西路南段（英华学院段）维修工程，并由市市政管理局作为业主负责实施。</t>
  </si>
  <si>
    <t>钦州东站市政配套道路工程</t>
  </si>
  <si>
    <t>建设6条道路，共1068米、宽8-30米，高架桥长723米。</t>
  </si>
  <si>
    <t>完成桥梁下构及部分道路路基建设。</t>
  </si>
  <si>
    <t>完成施工招标及报监手续。</t>
  </si>
  <si>
    <t>建设资金尚未落实。</t>
  </si>
  <si>
    <t>市住建委、钦北区人民政府</t>
  </si>
  <si>
    <t>建设主变容量5万kVA，110kV线路45公里</t>
  </si>
  <si>
    <t>已完成变电站建设，110千伏排丽线路已完成验收。</t>
  </si>
  <si>
    <t>年度投资太小，建议删掉</t>
  </si>
  <si>
    <t>灵山县沙坪至大塘二级公路</t>
  </si>
  <si>
    <t>二级公路，全长75.8公里，宽12米。</t>
  </si>
  <si>
    <t>完成路基铺设。</t>
  </si>
  <si>
    <t>目前临时工程完成99%，路基工程完成36%，桥梁完成38%，涵洞工程完成40%。</t>
  </si>
  <si>
    <t>涉及基本农田未调处完。K7+328上跨黎钦铁路桥以及中石油、中石化的4根石油、天然气管道的专项保护设计问题。</t>
  </si>
  <si>
    <t>与续建59重复</t>
  </si>
  <si>
    <t>钦北新城至小董二级公路</t>
  </si>
  <si>
    <t>路基完成50%；挖除旧路面61.5%；圆管涵完成95%；盖板涵完成81.5%；挡土墙完成90%。路基挖填方完成57%；盖板涵完成100%；级配碎石完成24%。</t>
  </si>
  <si>
    <t>与续建项目64重复</t>
  </si>
  <si>
    <t>钦州商贸学校迁建项目</t>
  </si>
  <si>
    <r>
      <rPr>
        <sz val="11"/>
        <rFont val="宋体"/>
        <charset val="134"/>
      </rPr>
      <t>总建筑面积7</t>
    </r>
    <r>
      <rPr>
        <sz val="11"/>
        <rFont val="宋体"/>
        <charset val="134"/>
      </rPr>
      <t>.</t>
    </r>
    <r>
      <rPr>
        <sz val="11"/>
        <rFont val="宋体"/>
        <charset val="134"/>
      </rPr>
      <t>2万平方米，主要建设教学实训用房、教学辅助及行政管理用房、生活用房等。</t>
    </r>
  </si>
  <si>
    <t>正在办理规划选址，开展可研编制工作。</t>
  </si>
  <si>
    <t>选址未批复，征地工作尚未开展。</t>
  </si>
  <si>
    <t>广西钦州商贸学校</t>
  </si>
  <si>
    <t>罗进
13877778444</t>
  </si>
  <si>
    <t>该项目选址尚未确定，不具备2019年开工建设条件，建议删除。</t>
  </si>
  <si>
    <t>钦州市白石湖水系整治及内涝整治工程（一期）</t>
  </si>
  <si>
    <r>
      <rPr>
        <sz val="11"/>
        <rFont val="宋体"/>
        <charset val="134"/>
      </rPr>
      <t>水系全长355</t>
    </r>
    <r>
      <rPr>
        <sz val="11"/>
        <rFont val="宋体"/>
        <charset val="134"/>
      </rPr>
      <t>4</t>
    </r>
    <r>
      <rPr>
        <sz val="11"/>
        <rFont val="宋体"/>
        <charset val="134"/>
      </rPr>
      <t>米。</t>
    </r>
  </si>
  <si>
    <t>根据选址范围施工条件组织施工。</t>
  </si>
  <si>
    <t>通湖二渠已竣工。方案设计已通过市住建委的审批，目前正在开展地质勘察工作。</t>
  </si>
  <si>
    <t>项目资金尚未落实，征拆工作尚未开展，影响项目地质勘察工作的推进。</t>
  </si>
  <si>
    <t>不在市2019年中心城区城市建设项目计划内，建议删除</t>
  </si>
  <si>
    <t>高新区C07、H01、H03、H04、J01地块平整</t>
  </si>
  <si>
    <t>平整土地面积约1100亩。</t>
  </si>
  <si>
    <t>正在进行用地、林地报批手续。</t>
  </si>
  <si>
    <t>因正与西部控股洽谈，存在不确定性，高新区建议从盘子中删除。（高新区二期路网项目投资额基本已提前报完）</t>
  </si>
  <si>
    <t>高新区城南东大街（进港大道至钦犀公路路段）</t>
  </si>
  <si>
    <t>全长2297米，路宽50米。</t>
  </si>
  <si>
    <r>
      <rPr>
        <sz val="11"/>
        <rFont val="宋体"/>
        <charset val="134"/>
      </rPr>
      <t>5</t>
    </r>
    <r>
      <rPr>
        <sz val="11"/>
        <rFont val="宋体"/>
        <charset val="134"/>
      </rPr>
      <t>月</t>
    </r>
  </si>
  <si>
    <t>已完成报监等前期工作。</t>
  </si>
  <si>
    <t>高新区勇前路（城南东大街至南环路）</t>
  </si>
  <si>
    <t>全长851米，路宽30米。</t>
  </si>
  <si>
    <r>
      <rPr>
        <sz val="11"/>
        <rFont val="宋体"/>
        <charset val="134"/>
      </rPr>
      <t>10</t>
    </r>
    <r>
      <rPr>
        <sz val="11"/>
        <rFont val="宋体"/>
        <charset val="134"/>
      </rPr>
      <t>月</t>
    </r>
  </si>
  <si>
    <t>已完成报监等前期工作，以及项目招投标工作。</t>
  </si>
  <si>
    <t>高新区留泉街（进港大道至勇前路段）</t>
  </si>
  <si>
    <t>全长1613米，路宽30米。</t>
  </si>
  <si>
    <t>高新区南环路（德才大道至钦犀公路）</t>
  </si>
  <si>
    <t>全长1417米，宽60米。</t>
  </si>
  <si>
    <t>项目已经完成报建、报监、清表工作。</t>
  </si>
  <si>
    <t>因正与西部控股洽谈，存在不确定性，建议从盘子中删除。（高新区二期路网项目投资额基本已提前报完）</t>
  </si>
  <si>
    <t>高新区德才大道（嘉禾路至南环路）</t>
  </si>
  <si>
    <t>全长1000米，宽50米。</t>
  </si>
  <si>
    <t>已完成招投标，德才大道与广南街交叉路口的路基已铺设。</t>
  </si>
  <si>
    <t>中马钦州产业园区12英寸集成电路级大硅片产业园</t>
  </si>
  <si>
    <t>建设12条生产线，分三期建设，一期建设四条生产线，年产480万片硅片。</t>
  </si>
  <si>
    <t>广西启世半导体有限公司</t>
  </si>
  <si>
    <t>业主投资意向不强，市长开会确定删除。</t>
  </si>
  <si>
    <t>高新区鹏大汽车零配件生产线建设项目</t>
  </si>
  <si>
    <t>建设年产100万件套汽车零配件生产线。</t>
  </si>
  <si>
    <t>已完成土地招拍挂，正在办理土地使用证，已开始总评设计工作。</t>
  </si>
  <si>
    <t>土地尚未完全平整。</t>
  </si>
  <si>
    <t>广西鹏大梁山汽车配件有限公司</t>
  </si>
  <si>
    <t>赵健忠13977713783</t>
  </si>
  <si>
    <t>已报完投资数，删除项目</t>
  </si>
  <si>
    <t>灵山县七喜大水牛电子创业园</t>
  </si>
  <si>
    <t>建设年产1000万件计算机机箱、电源生产线。</t>
  </si>
  <si>
    <t>已完成项目备案，正在编制环评报告、水土保持方案。</t>
  </si>
  <si>
    <t>土地征收相对缓慢，项目用地指标还没解决。</t>
  </si>
  <si>
    <t>灵山七喜电子科技有限公司</t>
  </si>
  <si>
    <t>陈源锋18278797776</t>
  </si>
  <si>
    <t>业主放弃项目，删除项目。</t>
  </si>
  <si>
    <r>
      <rPr>
        <sz val="10"/>
        <rFont val="宋体"/>
        <charset val="134"/>
      </rPr>
      <t>1</t>
    </r>
    <r>
      <rPr>
        <sz val="10"/>
        <rFont val="宋体"/>
        <charset val="134"/>
      </rPr>
      <t>0亿</t>
    </r>
  </si>
  <si>
    <t>灵山县断头路工程</t>
  </si>
  <si>
    <t>建设司马路、双鹤二路、江滨北路等9条断头路。</t>
  </si>
  <si>
    <t>征地拆迁完成后即可开工建设。</t>
  </si>
  <si>
    <t>土地房屋征拆问题未解决。</t>
  </si>
  <si>
    <t>黄圣勇13977716728</t>
  </si>
  <si>
    <t>打捆小项目由县区管理。</t>
  </si>
  <si>
    <t>中马钦州产业园区微生物添加剂产品研发及生产项目</t>
  </si>
  <si>
    <t>建设微生物添加剂生产线、研发中心及其配套设施等。</t>
  </si>
  <si>
    <t>完成建设4条菌种生产线，</t>
  </si>
  <si>
    <t>已完成厂房设备安装、调试及员工培训，已部分投产运营。</t>
  </si>
  <si>
    <t>岺勋骥    18777300220</t>
  </si>
  <si>
    <t>钦南区新营新南海堤加固工程</t>
  </si>
  <si>
    <t>按10年一遇防御标准加固堤长7.7公里。</t>
  </si>
  <si>
    <t>完成可研未评审。</t>
  </si>
  <si>
    <t>无法推进，钦南区建议删除。</t>
  </si>
  <si>
    <t>中马钦州产业园区北斗产业园</t>
  </si>
  <si>
    <t>总建筑面积约9.5万平方米，主要建设北斗产品生产线、研发中心、试验室、产品仓库和办公楼等配套设施。</t>
  </si>
  <si>
    <t xml:space="preserve">已完成立项、可研、初设及评审、方案设计、人防审查、用地规划许可证的办理；现正在办理土地证办理、施工图审查等工作。    </t>
  </si>
  <si>
    <t>由于资金缺乏、合作方未明确等原因，中马、工业科建议暂定为前期工作项目，不列入2019年开工计划。</t>
  </si>
  <si>
    <t>中马钦州产业园区新能源汽车集成电路充电桩项目</t>
  </si>
  <si>
    <r>
      <rPr>
        <sz val="11"/>
        <rFont val="宋体"/>
        <charset val="134"/>
      </rPr>
      <t>总建筑面积12</t>
    </r>
    <r>
      <rPr>
        <sz val="11"/>
        <rFont val="宋体"/>
        <charset val="134"/>
      </rPr>
      <t>.</t>
    </r>
    <r>
      <rPr>
        <sz val="11"/>
        <rFont val="宋体"/>
        <charset val="134"/>
      </rPr>
      <t>3万平方米，建设年产200万套新能源汽车集成电路充电桩生产线。</t>
    </r>
  </si>
  <si>
    <t>完成厂房主体建设，完成装修80%。</t>
  </si>
  <si>
    <t>一期项目已投产，二期项目完成前期手续，土地已经平整到位，具备开工条件。</t>
  </si>
  <si>
    <t>陆瑞春   15878931415</t>
  </si>
  <si>
    <t>因调整成新开工项目删除。</t>
  </si>
  <si>
    <t>建成部分厂房及办公楼主体及周边管路。</t>
  </si>
  <si>
    <t>正在进行围墙施工。</t>
  </si>
  <si>
    <t>中马钦州产业园区广西帝亚新能源汽车项目</t>
  </si>
  <si>
    <t>建设年产20万台纯电动汽车生产线及相关配套设施，主要建设冲压、焊装、涂装、总装等车间和电池PACK车间、实验测试车间。</t>
  </si>
  <si>
    <t>已完成项目备案、签订项目投资协议书。</t>
  </si>
  <si>
    <t>广西帝亚新能源汽车有限公司</t>
  </si>
  <si>
    <t>杨喜强15007776959</t>
  </si>
  <si>
    <t>国家工信部尚未出台低速电动车政策，开工时间无法确定。</t>
  </si>
  <si>
    <t>中马钦州产业园区阿尔特东盟汽车设计研发中心</t>
  </si>
  <si>
    <t>建设年改装车3万台生产线及设计研发和人才培训基地。</t>
  </si>
  <si>
    <t>阿尔特汽车技术股份有限公司</t>
  </si>
  <si>
    <t xml:space="preserve">何娜 13810293606  </t>
  </si>
  <si>
    <t>中马钦州产业园区中国—东盟影视文化产业基地</t>
  </si>
  <si>
    <t>分三期建设，一期建设影视制作体验馆、摄影棚等，二期建设壮文化展示区、东盟风情街区等，三期建设大型拍摄基地等。</t>
  </si>
  <si>
    <t>广西电视传媒发展集团有限公司</t>
  </si>
  <si>
    <t>黄贵春    18607770889</t>
  </si>
  <si>
    <t>业主投资意向不强，预计2020年才能正式开工，中马建议删除。</t>
  </si>
  <si>
    <t>中马钦州产业园区新能源车用驱动电机项目</t>
  </si>
  <si>
    <t>建设年产10万台新能源车用驱动电机生产线。</t>
  </si>
  <si>
    <t>完善现有电机生产线的附属设施。</t>
  </si>
  <si>
    <t>已完成厂房设备安装、调试及员工培训，目前进行试投产。</t>
  </si>
  <si>
    <t>资金不足，相关专业技术人员紧缺。</t>
  </si>
  <si>
    <t>广西大酉中动新能源科技有限公司</t>
  </si>
  <si>
    <t>王月莲   18877773050</t>
  </si>
  <si>
    <t>业主投资战略变化，暂不扩张生产线，投资意向不强，中马建议删除。</t>
  </si>
  <si>
    <r>
      <rPr>
        <sz val="11"/>
        <rFont val="宋体"/>
        <charset val="134"/>
      </rPr>
      <t>完成9</t>
    </r>
    <r>
      <rPr>
        <sz val="11"/>
        <rFont val="宋体"/>
        <charset val="134"/>
      </rPr>
      <t>0%土石方工程，正在进行景观工程、绿化工程、水体工程、桥梁工程施工。</t>
    </r>
  </si>
  <si>
    <t>因调整成续建项目删除。</t>
  </si>
  <si>
    <t>中马钦州产业园区友谊大道地下综合管廊</t>
  </si>
  <si>
    <t>全长2400米，按2仓建设。</t>
  </si>
  <si>
    <t>已竣工验收。</t>
  </si>
  <si>
    <t>杨凤山17774775858</t>
  </si>
  <si>
    <r>
      <rPr>
        <sz val="11"/>
        <rFont val="宋体"/>
        <charset val="134"/>
      </rPr>
      <t>已竣工，2</t>
    </r>
    <r>
      <rPr>
        <sz val="11"/>
        <rFont val="宋体"/>
        <charset val="134"/>
      </rPr>
      <t>018年</t>
    </r>
    <r>
      <rPr>
        <sz val="11"/>
        <rFont val="宋体"/>
        <charset val="134"/>
      </rPr>
      <t>已报完投资数。</t>
    </r>
  </si>
  <si>
    <t>中马钦州产业园区职业教育实训基地（创教空间）</t>
  </si>
  <si>
    <t>总建筑面积10.7万平方米，建设1#实训基地、服务外包大楼、展示中心等。</t>
  </si>
  <si>
    <t xml:space="preserve">中马钦州产业园区第一小学（二期）       </t>
  </si>
  <si>
    <t>总建筑面积1.3万平方米，建设教学楼、综合楼、宿舍楼、食堂、体育场及相关配套设施。</t>
  </si>
  <si>
    <t>红线范围还未完成征收。初步设计未审核通过。</t>
  </si>
  <si>
    <r>
      <rPr>
        <sz val="11"/>
        <rFont val="宋体"/>
        <charset val="134"/>
      </rPr>
      <t>总建筑面积7.8万平方米，建设研发办公楼</t>
    </r>
    <r>
      <rPr>
        <sz val="11"/>
        <rFont val="宋体"/>
        <charset val="134"/>
      </rPr>
      <t>一栋。</t>
    </r>
  </si>
  <si>
    <t>中国—东盟信息港跨境数据中心</t>
  </si>
  <si>
    <t>总建筑面积3.98万平方米。</t>
  </si>
  <si>
    <t>完成基坑开挖、桩基浇筑、地梁和承台浇筑等地下部分施工。</t>
  </si>
  <si>
    <t>已完成方案设计，完成EPC招标。数据中心主楼垫层完成，防水完成30％；A栋企业办公楼垫层完成，地下室剪力墙完成50％。</t>
  </si>
  <si>
    <t>业主融资困难，中马建议删除。</t>
  </si>
  <si>
    <t>完成4、5层标准厂房的装修。</t>
  </si>
  <si>
    <t>调整成竣工项目删除。</t>
  </si>
  <si>
    <t>大榄坪南作业区7-8#泊位半自动化集装箱改造工程</t>
  </si>
  <si>
    <t>对原有泊位陆域纵深距码头前沿线50米至769米范围内的散杂货堆场改造成专业化半自动集装箱堆场。</t>
  </si>
  <si>
    <t>开展可研等前期工作。</t>
  </si>
  <si>
    <t>江智13737779503</t>
  </si>
  <si>
    <t>年度开工不了工，只能完成施工图设计等前期工作。</t>
  </si>
  <si>
    <t>大榄坪南作业区9-10#全自动化集装箱泊位工程</t>
  </si>
  <si>
    <t>新建2个10万吨集装箱自动化码头，码头水工按15万吨级建设，年设计吞吐量为240万TEU。</t>
  </si>
  <si>
    <t>高新区恒力宝制药项目</t>
  </si>
  <si>
    <t>年产生产片剂50亿片，颗粒剂、乳膏剂、软膏剂各400吨，涂剂、搽剂、酊剂各500吨，原料药（薄荷素油）100吨，中药提取物1000吨。</t>
  </si>
  <si>
    <t>广西钦州恒力宝制药有限公司</t>
  </si>
  <si>
    <t>项目业主原因，该项目与金页项目合并，高新区建议删除。</t>
  </si>
  <si>
    <t>钦州保税港区金特安环保开式轮胎项目</t>
  </si>
  <si>
    <t>建设年产1000万条免充气环保开式轮胎自动化生产线。</t>
  </si>
  <si>
    <t>购置安装4条生产线。</t>
  </si>
  <si>
    <t>正在装修厂房。</t>
  </si>
  <si>
    <t>企业融资困难，资金缺口大。</t>
  </si>
  <si>
    <t>广西金特安科技有限公司</t>
  </si>
  <si>
    <t>何宗轩
18025377598</t>
  </si>
  <si>
    <t>浦北县110kV浦泉（泉水）送变电工程</t>
  </si>
  <si>
    <t>新建主变1台，容量40MVA，110kV线路28.5公里。</t>
  </si>
  <si>
    <t>完成可研批复。</t>
  </si>
  <si>
    <t>跨地区项目需自治区发改委核准可研、自治区国土厅办理用地预审等手续。</t>
  </si>
  <si>
    <t>项目土地预审、选址意见书未批复、核准因为跨地区需要自治区批复，下半年调整计划争取列入。现请删除</t>
  </si>
  <si>
    <t>滨海新城平山东大街</t>
  </si>
  <si>
    <t>滨江东路至扬帆大道南延长线段，全长2487米，宽50米。</t>
  </si>
  <si>
    <t>完成交通、照明、绿化等配套工程。</t>
  </si>
  <si>
    <t>已基本完成道路建设。</t>
  </si>
  <si>
    <t>扬帆大道段存在征拆问题。</t>
  </si>
  <si>
    <t>该项目资金已提前申报入库，建议从重点建设项目计划表移除。</t>
  </si>
  <si>
    <t>灵山县天山电子TFT液晶生产线项目</t>
  </si>
  <si>
    <t>总建筑面积约4万平方米，建设年产800万套TFT2条生产线。</t>
  </si>
  <si>
    <t>正在办理用地规划调整。</t>
  </si>
  <si>
    <t>选址不符合规划，没有用地指标。</t>
  </si>
  <si>
    <t>项目实施慢，预计今年不能推进，建议删除。</t>
  </si>
  <si>
    <t>浦北县县城及重点镇供水工程</t>
  </si>
  <si>
    <t>日供水能力2000吨-50000吨，铺设管网长244公里。</t>
  </si>
  <si>
    <t>完成泉水、北通镇供水厂及配套基础。</t>
  </si>
  <si>
    <t>县城供水管网已经竣工验收；北通镇供水改扩建正在变更设计；泉水镇供水工程正进行招标。</t>
  </si>
  <si>
    <t>未完成与私人公司的经营权协调。</t>
  </si>
  <si>
    <t>张东13877760789</t>
  </si>
  <si>
    <t>农发行已停止项目资金支付，浦北县建议删除项目。</t>
  </si>
  <si>
    <t>浦北县棚户区改造项目（二期）</t>
  </si>
  <si>
    <t>总建筑面积3.8万平方米，改造3492户。</t>
  </si>
  <si>
    <t>6个安置地正常开工。</t>
  </si>
  <si>
    <t>乐民、安石镇旧住宅区综合整治项目已竣工验收，张黄镇旧住宅区综合整治二期目前正在招投标。</t>
  </si>
  <si>
    <t>“四证”未完成办理，征拆协议未完成。</t>
  </si>
  <si>
    <t>钦南区犀牛脚镇大坪村农光互补项目</t>
  </si>
  <si>
    <t>新建60MWp光伏电站及配套设施。</t>
  </si>
  <si>
    <t>已完成备案。</t>
  </si>
  <si>
    <t>没有光伏建设指标。</t>
  </si>
  <si>
    <t>广西光泰新能源开发有限公司</t>
  </si>
  <si>
    <t>赵昕17768646682</t>
  </si>
  <si>
    <t>项目无法推进，钦南区建议调出。</t>
  </si>
  <si>
    <t>钦州市城市生活垃圾焚烧发电工程项目二期</t>
  </si>
  <si>
    <t>建设日处理生活垃圾300吨的生产线一条，配套6M发电机组一台。</t>
  </si>
  <si>
    <t>已完成项目核准、环评、节能、用地等批复。</t>
  </si>
  <si>
    <t>部分地区垃圾转运体系不完善，垃圾进厂量不足。</t>
  </si>
  <si>
    <t>钦州海诺尔环保发电有限责任公司</t>
  </si>
  <si>
    <t xml:space="preserve">刘鹏18125907641        </t>
  </si>
  <si>
    <t>今年年内无法推进，钦南区建议调出。</t>
  </si>
  <si>
    <t>钦南区禽畜肉海水产品类加工、果蔬粗粮冷链配送项目</t>
  </si>
  <si>
    <t>总建筑面积13.8万平方米，建设年加工禽畜类1亿羽、水产品6万吨生产线及5万吨冷库1座。</t>
  </si>
  <si>
    <t>食品科技园总规和控规未完善。</t>
  </si>
  <si>
    <t>广西农垦钦州企业总公司</t>
  </si>
  <si>
    <t>彭辉13647779933</t>
  </si>
  <si>
    <t>钦南区巨申钢铜管加工基地项目</t>
  </si>
  <si>
    <t>建设11条铜管、5条钢管、5条造船钢板生产线。</t>
  </si>
  <si>
    <t>已完成场地平整200亩，正在建设厂房基础工程。</t>
  </si>
  <si>
    <t>广西巨申投资有限公司</t>
  </si>
  <si>
    <t>张功成18677763199</t>
  </si>
  <si>
    <t>项目已停工2年，无法推进，钦南区建议调出。</t>
  </si>
  <si>
    <t>钦南区光大物流园</t>
  </si>
  <si>
    <t>总建筑面积2.7万平方米，建设集物流运输、车辆销售、物流信息、金融物流、汽配汽修等。</t>
  </si>
  <si>
    <t>基本完成厂房建设。</t>
  </si>
  <si>
    <t>已平整部分土地。</t>
  </si>
  <si>
    <t>选用地存在与城市总体规划不符。</t>
  </si>
  <si>
    <t>钦州市光大物流有限公司</t>
  </si>
  <si>
    <t>黄天海18277789999</t>
  </si>
  <si>
    <t>用地规划不符，钦南区建议调出。</t>
  </si>
  <si>
    <t>G359浦北县东绕城公路工程</t>
  </si>
  <si>
    <t>二级公路，全长11公里，宽12米。</t>
  </si>
  <si>
    <t>一期：整体完成95%，春节前可通车。二期：完成石湾头桥10根钻孔灌注桩；完成500米清表，挖填土方2000立方米。</t>
  </si>
  <si>
    <t>一期农田沿线道路需补征2米宽。二期全线征地款未发放，70多座坟山未迁移，三处房屋未征拆。</t>
  </si>
  <si>
    <t>因G359(一期)已报竣工，而G359（二期）总投资达不到5000万元，拆分成新开工项目而删除。</t>
  </si>
  <si>
    <t>完成配套供水管网建设。</t>
  </si>
  <si>
    <t>已完成水厂的建设。</t>
  </si>
  <si>
    <t>已完成建设。</t>
  </si>
  <si>
    <t>中马钦州产业园区东二街（孔雀湾大道—锦绣大道）工程</t>
  </si>
  <si>
    <t>全长929米，宽22米。</t>
  </si>
  <si>
    <t>分不出投资数删除</t>
  </si>
  <si>
    <t>中马钦州产业园区东五街（孔雀湾大道—友谊大道）工程</t>
  </si>
  <si>
    <t>全长340米，宽22米。</t>
  </si>
  <si>
    <t>高新区八桂天香产业园</t>
  </si>
  <si>
    <t>建设9条产品生产线，生产口罩、儿啼安、生物饲料、印刷品等产品。</t>
  </si>
  <si>
    <r>
      <rPr>
        <sz val="11"/>
        <rFont val="宋体"/>
        <charset val="134"/>
      </rPr>
      <t>2</t>
    </r>
    <r>
      <rPr>
        <sz val="11"/>
        <rFont val="宋体"/>
        <charset val="134"/>
      </rPr>
      <t>018-2021</t>
    </r>
  </si>
  <si>
    <t>完成一期总部大楼装修进驻办公。</t>
  </si>
  <si>
    <t>广西八桂天香实业（集团）有限公司</t>
  </si>
  <si>
    <r>
      <rPr>
        <sz val="11"/>
        <rFont val="宋体"/>
        <charset val="134"/>
      </rPr>
      <t>许毅明1</t>
    </r>
    <r>
      <rPr>
        <sz val="11"/>
        <rFont val="宋体"/>
        <charset val="134"/>
      </rPr>
      <t>3978807120</t>
    </r>
  </si>
  <si>
    <t>项目不实删除。</t>
  </si>
  <si>
    <t>钦州市中医医院迁址新建项目</t>
  </si>
  <si>
    <t>总建筑面积11.3万平方米，主要建设一栋综合楼、一栋门急诊综合楼、一栋治未病中心、地下室。</t>
  </si>
  <si>
    <t>完成治未病中心楼土建、装修并投入使用。</t>
  </si>
  <si>
    <t>已完成一期综合楼和门急诊楼主体建设，正在建设后勤辅助楼。</t>
  </si>
  <si>
    <t>未落实征拆安置用地问题，资金缺口大。</t>
  </si>
  <si>
    <t>钦州市中医医院</t>
  </si>
  <si>
    <t>王敬明13877726688</t>
  </si>
  <si>
    <t>筹措不到项目资金而缓建。</t>
  </si>
  <si>
    <t>钦州市生猪屠宰、肉类食品精深加工项目</t>
  </si>
  <si>
    <t>建设年屠宰生猪15万头和肉类精深加工厂房。</t>
  </si>
  <si>
    <t>广西钦州崇盛食品有限公司</t>
  </si>
  <si>
    <t>邱羚15723708156</t>
  </si>
  <si>
    <t>选址未确定，北区区长明确表示取消该项目。</t>
  </si>
  <si>
    <t>广西北部湾工业废弃物综合处置中心项目</t>
  </si>
  <si>
    <t>年处理工业废弃物35.3万吨。其中一期11.83万吨/年，二期23.53万吨/年。</t>
  </si>
  <si>
    <t>完成三通一平。</t>
  </si>
  <si>
    <t>已完成项目准核。</t>
  </si>
  <si>
    <t>1.自治区生态环境厅暂停环评批复新项目；
2.钦州市中心城区土地规划修编暂未获得自治区自然资源厅批复。</t>
  </si>
  <si>
    <t>广西东方园林环保科技有限公司</t>
  </si>
  <si>
    <t>张英华18076520595</t>
  </si>
  <si>
    <t>自治区未批环评删除。</t>
  </si>
  <si>
    <t>钦南区玖河湾农林产业示范区</t>
  </si>
  <si>
    <t>海红米种植示范1000亩，农林产业园1300亩，水产养殖地、禽畜养殖400亩，以及休闲旅游观光、农产品加工销售等配套设施。</t>
  </si>
  <si>
    <t>水果种植500亩，海水养殖300亩，海红米种植1000亩，建设休闲旅游中心。</t>
  </si>
  <si>
    <t>已完成项目备案、选址。</t>
  </si>
  <si>
    <t>钦州玖河流域农林产业苑科技有限公司</t>
  </si>
  <si>
    <t>曾华13877010199</t>
  </si>
  <si>
    <t>无法推进删除。</t>
  </si>
  <si>
    <t>钦南区就业创业特种种养示范基地</t>
  </si>
  <si>
    <t>建筑面积3000平方米，年产肉蛇3万条。</t>
  </si>
  <si>
    <t>建设蛇房300间，面积1000平方米。</t>
  </si>
  <si>
    <t>钦州市运鸿养殖场</t>
  </si>
  <si>
    <t>李子红13907777680</t>
  </si>
  <si>
    <t>钦南区“海红米”特色产业种植项目</t>
  </si>
  <si>
    <t>种植“钦州海红米”面积2.2万亩。</t>
  </si>
  <si>
    <t>种植海红米4800亩。</t>
  </si>
  <si>
    <t>钦南区农业农村局</t>
  </si>
  <si>
    <t>周健  18107777288</t>
  </si>
  <si>
    <t>中国—东盟农产品大市场二期</t>
  </si>
  <si>
    <t>总建筑面积28.8万平方米，建设水产及水产加工配送区、冷冻食品交易区、蔬菜交易区和相关配套设施。</t>
  </si>
  <si>
    <r>
      <rPr>
        <sz val="11"/>
        <rFont val="宋体"/>
        <charset val="134"/>
      </rPr>
      <t>2019-202</t>
    </r>
    <r>
      <rPr>
        <sz val="11"/>
        <rFont val="宋体"/>
        <charset val="134"/>
      </rPr>
      <t>1</t>
    </r>
  </si>
  <si>
    <t>完成冷库、仓储式交易大棚建设。</t>
  </si>
  <si>
    <t>已完成备案、选址、用地预审、环评，100亩用地指标已落实，待招拍挂。</t>
  </si>
  <si>
    <t>476亩土地未能招拍挂。</t>
  </si>
  <si>
    <t>钦州宏进农副产品批发市场有限公司</t>
  </si>
  <si>
    <t>张子倩18775701891</t>
  </si>
  <si>
    <t>钦南区新海丝木业项目</t>
  </si>
  <si>
    <t>建设年产5万套进口木材中高端实木家具车间。</t>
  </si>
  <si>
    <t>完成厂房及配套设施的建设。</t>
  </si>
  <si>
    <t>已完成场地平整，正在进行建设车间和道路。</t>
  </si>
  <si>
    <t>广西新海丝木业有限公司</t>
  </si>
  <si>
    <t>陈景昊18207773932</t>
  </si>
  <si>
    <t>钦南区2000亩有机蔬菜种植基地项目</t>
  </si>
  <si>
    <t>年产有机蔬菜1.3万吨。</t>
  </si>
  <si>
    <t>种植100亩有机蔬菜。</t>
  </si>
  <si>
    <t>已种植300亩有机蔬菜。</t>
  </si>
  <si>
    <t>钦州安丰农业发展有限公司</t>
  </si>
  <si>
    <t>陈伟18677177490</t>
  </si>
  <si>
    <t>钦南区那雾山森林公园乡村旅游富民工程项目</t>
  </si>
  <si>
    <t>建设自然村乡村风貌改造、休闲农业生态观光园、生态游乐园、植物园、动物园、环山公路、旅客服务中心等。</t>
  </si>
  <si>
    <t>建成林区道路工程、停车场工程、生态园绿化等。</t>
  </si>
  <si>
    <t>已建成林区道路工程、停车场工程、生态园绿化等。</t>
  </si>
  <si>
    <t>钦南区林业投资有限公司</t>
  </si>
  <si>
    <t>黄亮宏
18907775611</t>
  </si>
  <si>
    <t>钦南区建维联创科技生态农业基地</t>
  </si>
  <si>
    <t>年产无公害果蔬500吨，配套建设果蔬栽培区、休闲观光采摘区、旅宿农家生活体验区和水电路等相关设施。</t>
  </si>
  <si>
    <t>完成相关基础设施及道路建设。</t>
  </si>
  <si>
    <t>小部分村民土地纠纷。</t>
  </si>
  <si>
    <t>广西建维联创生态农业有限公司</t>
  </si>
  <si>
    <t>黄铭18677708019</t>
  </si>
  <si>
    <t>浦北县五仙湖国际旅游康养文化项目</t>
  </si>
  <si>
    <t>总建筑面积29.4万平方米，建设长寿旅游文化村、长寿康养体验中心、科技馆、五仙湖国际大酒及配套设施。</t>
  </si>
  <si>
    <t>完成文化村、文化广场、停车场等基础设施建设。</t>
  </si>
  <si>
    <t>文化广场已平整，大型停车场在平整中，游客接待中心正在封顶。</t>
  </si>
  <si>
    <t>土地问题。</t>
  </si>
  <si>
    <t>国际旅游康养文化发展有限公司</t>
  </si>
  <si>
    <t>曾家财18897665559</t>
  </si>
  <si>
    <t>常务删除。</t>
  </si>
  <si>
    <t>灵山县荔香大道由路塘安置区项目</t>
  </si>
  <si>
    <t>总建筑面积3.3万平方米，建设安置房294套和安置区内道路长1899米，宽12-20米。</t>
  </si>
  <si>
    <t>灵山县电子信息产业园安置区（一期）项目</t>
  </si>
  <si>
    <t>总建筑面积41万平方米，建设安置房307套和安置区内道路长2935米。</t>
  </si>
  <si>
    <t>完成A区厂房建设，完成5条道路硬化。</t>
  </si>
  <si>
    <t>钦州保税港区分布式光伏发电项目</t>
  </si>
  <si>
    <t>总装机容量约为20MWp，安装光伏组件面积20万平方米，分两期建设。</t>
  </si>
  <si>
    <t>建设安装光伏组件10万平方米。</t>
  </si>
  <si>
    <t>已完成备案及设备招标。</t>
  </si>
  <si>
    <t>南方电网综合能源广西有限公司</t>
  </si>
  <si>
    <t>黄冰
13457995230</t>
  </si>
  <si>
    <t>尚未明确是否能申请国家光伏补贴，业主投资意向未定。</t>
  </si>
  <si>
    <t>四川能投钦州石化综合体一期</t>
  </si>
  <si>
    <t>年产60万吨丙烷脱氢、30万吨聚丙烯、25万吨丁辛醇及丙烯深加工。</t>
  </si>
  <si>
    <t>一期项目完成报批报建等前期工作，实现开工建设。</t>
  </si>
  <si>
    <t>已签订协议，明确了项目选址，正在开展项目可行性研究等前期工作，计划盘整恒源石化110亩地满足项目仓储需求。</t>
  </si>
  <si>
    <t>1.征拆和土地指标申报问题；
2.解决一期能耗60万吨标煤问题；
3.盘整约100-200亩仓储用地重建为5万吨级液化气码头。</t>
  </si>
  <si>
    <t>四川省能源投资集团有限责任公司</t>
  </si>
  <si>
    <t>段焰熙    13881878879</t>
  </si>
  <si>
    <t>市石化局、钦州港区管委</t>
  </si>
  <si>
    <t>常务要求先梳理项目前期工作，删除。</t>
  </si>
  <si>
    <t>中石油35万吨烷基化项目</t>
  </si>
  <si>
    <t>建设年产35万吨烷基化装置。</t>
  </si>
  <si>
    <t>钦州港鹰岭分区车场</t>
  </si>
  <si>
    <t>建设到发（调车）线3条，牵出线2条。</t>
  </si>
  <si>
    <t>前期工作已完成，具备开工建设条件。</t>
  </si>
  <si>
    <t>1.占用中石化钦州公司20.38亩土地；
2.占用天盛码头26亩土地；
3.占用恒源石化10亩土地；
4.占用永鑫公司3亩土地。</t>
  </si>
  <si>
    <t>钦州港鹰岭作业区至石化产业园专用线和金谷分区车场</t>
  </si>
  <si>
    <t>建设铁路专用线3.5公里以及金谷分区车场。</t>
  </si>
  <si>
    <t>项目线路走向与中石油已建成石油管廊不符合安全距离。</t>
  </si>
  <si>
    <t xml:space="preserve">
邸金良
13077770871
</t>
  </si>
  <si>
    <t>钦州港CFS（集装箱制造、拆拼箱、办理站、物流中心）</t>
  </si>
  <si>
    <t>吹填约1600亩，建设集装箱修造、拆拼箱、仓储、生产标准箱、海运集装箱中心站。</t>
  </si>
  <si>
    <t>完成三个仓库、主办公楼、综合办公楼、进场道口办公楼、出场道口检查桥等建设。</t>
  </si>
  <si>
    <t xml:space="preserve">已办理取得423亩海域使用权证，剩余1177亩海域由临海公司以3个用海子项目办理海域使用权证。 </t>
  </si>
  <si>
    <t>装箱配套箱厂项目海域使用权挂牌出让方案未获得自治区政府批复。</t>
  </si>
  <si>
    <t>广西北部湾国际港务集团有限公司</t>
  </si>
  <si>
    <t>劳海斌18907870011</t>
  </si>
  <si>
    <t>钦州港大榄坪物流园区配套路网工程（第七大街）</t>
  </si>
  <si>
    <t>城市主干路I级，全长5874米，宽50米。</t>
  </si>
  <si>
    <t>完成300米路基、路面及排水。</t>
  </si>
  <si>
    <t>累计完成箱涵排水1900米，管涵排水3800米，路基级配1.5公里，水稳层1.5公里，路缘石2000米，沥青下、中面层950米。</t>
  </si>
  <si>
    <t>钦州港删除。</t>
  </si>
  <si>
    <t>与续建项目108重复删除。</t>
  </si>
  <si>
    <t>钦北区鸿丰精米加工建设项目</t>
  </si>
  <si>
    <t>建设年加工6万吨精米生产线。</t>
  </si>
  <si>
    <t>完成厂房基础建设。</t>
  </si>
  <si>
    <t>贵港市鸿丰米业有限公司</t>
  </si>
  <si>
    <t>邓雄芳13978585889</t>
  </si>
  <si>
    <t>钦北区中良神邦年产30万吨饲料生产项目</t>
  </si>
  <si>
    <t>南宁市中良神邦饲料有限责任公司</t>
  </si>
  <si>
    <t>唐强13367715448</t>
  </si>
  <si>
    <t>完成办公楼、生产车间建设。</t>
  </si>
  <si>
    <t>完成生产设备安装。</t>
  </si>
  <si>
    <t>已完成备案，一期道路设施已经做好，车间设备已安装好、正在试产。</t>
  </si>
  <si>
    <t>广西新榕兴建材科技有限公司</t>
  </si>
  <si>
    <t>完成储油区建设。</t>
  </si>
  <si>
    <t>已完成项目备案，已完成储油罐的建设。</t>
  </si>
  <si>
    <t>钦北区金花茶种植、休闲观光及深加工一体化项目</t>
  </si>
  <si>
    <t>租用土地面积约5000亩，建设金花茶的种植与休闲观光基地。</t>
  </si>
  <si>
    <t>2018-2025</t>
  </si>
  <si>
    <t>完成1000亩金花茶种植。</t>
  </si>
  <si>
    <t>广西万和制药有限公司</t>
  </si>
  <si>
    <t>庞焕
13907871800</t>
  </si>
  <si>
    <t>钦北区九佰垌国家农业综合开发现代农业园区项目</t>
  </si>
  <si>
    <t>建设5000亩水稻连片规模种植示范区，修建渠道31.2公里，渠道清淤5.3公里。</t>
  </si>
  <si>
    <t>完成渠道建设。</t>
  </si>
  <si>
    <t>处于施工阶段，已完成总工程量60%。</t>
  </si>
  <si>
    <t>钦北区农业综合开发办公室</t>
  </si>
  <si>
    <t>颜景永13907879789</t>
  </si>
  <si>
    <t>建设沟渠、田间道路、土地平整、土壤培肥、农田防护以及其他附属工程。</t>
  </si>
  <si>
    <t>完成工程建设。</t>
  </si>
  <si>
    <t>钦北区娥眉湾生态园项目</t>
  </si>
  <si>
    <t>占地面积约1270亩，建设休闲垂钓池、观赏荷花鱼池、农家乐文化广场、壮族文化吊脚楼群等。</t>
  </si>
  <si>
    <t>完成游泳池、采摘区、观光花果长廊建设。</t>
  </si>
  <si>
    <t>完成文化广场及荷花鱼池建设。</t>
  </si>
  <si>
    <r>
      <rPr>
        <sz val="11"/>
        <rFont val="宋体"/>
        <charset val="134"/>
      </rPr>
      <t>1</t>
    </r>
    <r>
      <rPr>
        <sz val="11"/>
        <rFont val="宋体"/>
        <charset val="134"/>
      </rPr>
      <t>.</t>
    </r>
    <r>
      <rPr>
        <sz val="11"/>
        <rFont val="宋体"/>
        <charset val="134"/>
      </rPr>
      <t xml:space="preserve">土地手续办理的问题；
</t>
    </r>
    <r>
      <rPr>
        <sz val="11"/>
        <rFont val="宋体"/>
        <charset val="134"/>
      </rPr>
      <t>2.融资困难</t>
    </r>
    <r>
      <rPr>
        <sz val="11"/>
        <rFont val="宋体"/>
        <charset val="134"/>
      </rPr>
      <t>。</t>
    </r>
  </si>
  <si>
    <t>广西钦州红树林实业有限责任公司</t>
  </si>
  <si>
    <t>马继鹏18074770001</t>
  </si>
  <si>
    <t>钦州市海豚子材公园人防工程项目</t>
  </si>
  <si>
    <t>建设地下人防工程及公园。</t>
  </si>
  <si>
    <t>申请立项。</t>
  </si>
  <si>
    <t>1、资金问题；                     2、征拆问题。</t>
  </si>
  <si>
    <t>李国钦13907878201</t>
  </si>
</sst>
</file>

<file path=xl/styles.xml><?xml version="1.0" encoding="utf-8"?>
<styleSheet xmlns="http://schemas.openxmlformats.org/spreadsheetml/2006/main">
  <numFmts count="20">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_);\(0\)"/>
    <numFmt numFmtId="177" formatCode="0_ "/>
    <numFmt numFmtId="178" formatCode="0;[Red]0"/>
    <numFmt numFmtId="179" formatCode="0_);[Red]\(0\)"/>
    <numFmt numFmtId="180" formatCode="#&quot;项&quot;"/>
    <numFmt numFmtId="181" formatCode="0&quot;项&quot;"/>
    <numFmt numFmtId="182" formatCode="yyyy&quot;年&quot;m&quot;月&quot;d&quot;日&quot;;@"/>
    <numFmt numFmtId="183" formatCode="yyyy&quot;年&quot;m&quot;月&quot;;@"/>
    <numFmt numFmtId="184" formatCode="0.000_);[Red]\(0.000\)"/>
    <numFmt numFmtId="185" formatCode="#,##0_ "/>
    <numFmt numFmtId="186" formatCode="#0"/>
    <numFmt numFmtId="187" formatCode="0.00_);[Red]\(0.00\)"/>
    <numFmt numFmtId="188" formatCode="0.00_ "/>
    <numFmt numFmtId="189" formatCode="0.0_);[Red]\(0.0\)"/>
    <numFmt numFmtId="190" formatCode="0.0%"/>
    <numFmt numFmtId="191" formatCode="0.0_ "/>
  </numFmts>
  <fonts count="72">
    <font>
      <sz val="10"/>
      <name val="楷体_GB2312"/>
      <charset val="134"/>
    </font>
    <font>
      <b/>
      <sz val="10"/>
      <name val="宋体"/>
      <charset val="134"/>
    </font>
    <font>
      <sz val="10"/>
      <color indexed="10"/>
      <name val="楷体_GB2312"/>
      <charset val="134"/>
    </font>
    <font>
      <sz val="8"/>
      <name val="宋体"/>
      <charset val="134"/>
    </font>
    <font>
      <sz val="10"/>
      <name val="宋体"/>
      <charset val="134"/>
    </font>
    <font>
      <sz val="11"/>
      <name val="楷体_GB2312"/>
      <charset val="134"/>
    </font>
    <font>
      <sz val="22"/>
      <name val="方正小标宋简体"/>
      <charset val="134"/>
    </font>
    <font>
      <sz val="26"/>
      <name val="方正小标宋简体"/>
      <charset val="134"/>
    </font>
    <font>
      <b/>
      <sz val="11"/>
      <name val="宋体"/>
      <charset val="134"/>
    </font>
    <font>
      <sz val="11"/>
      <name val="宋体"/>
      <charset val="134"/>
    </font>
    <font>
      <sz val="11"/>
      <color indexed="10"/>
      <name val="宋体"/>
      <charset val="134"/>
    </font>
    <font>
      <sz val="11"/>
      <color indexed="8"/>
      <name val="宋体"/>
      <charset val="134"/>
    </font>
    <font>
      <sz val="28"/>
      <name val="方正小标宋简体"/>
      <charset val="134"/>
    </font>
    <font>
      <sz val="20"/>
      <name val="方正小标宋简体"/>
      <charset val="134"/>
    </font>
    <font>
      <sz val="12"/>
      <name val="宋体"/>
      <charset val="134"/>
    </font>
    <font>
      <b/>
      <sz val="12"/>
      <name val="宋体"/>
      <charset val="134"/>
    </font>
    <font>
      <sz val="11"/>
      <color indexed="10"/>
      <name val="楷体_GB2312"/>
      <charset val="134"/>
    </font>
    <font>
      <sz val="10"/>
      <color indexed="10"/>
      <name val="宋体"/>
      <charset val="134"/>
    </font>
    <font>
      <sz val="10"/>
      <color indexed="8"/>
      <name val="宋体"/>
      <charset val="134"/>
    </font>
    <font>
      <b/>
      <sz val="9"/>
      <name val="宋体"/>
      <charset val="134"/>
    </font>
    <font>
      <b/>
      <sz val="12"/>
      <name val="仿宋_GB2312"/>
      <charset val="134"/>
    </font>
    <font>
      <sz val="10"/>
      <name val="Times New Roman"/>
      <charset val="134"/>
    </font>
    <font>
      <sz val="26"/>
      <name val="黑体"/>
      <charset val="134"/>
    </font>
    <font>
      <sz val="12"/>
      <name val="黑体"/>
      <charset val="134"/>
    </font>
    <font>
      <b/>
      <sz val="12"/>
      <name val="Times New Roman"/>
      <charset val="134"/>
    </font>
    <font>
      <sz val="12"/>
      <name val="Times New Roman"/>
      <charset val="134"/>
    </font>
    <font>
      <sz val="14"/>
      <name val="黑体"/>
      <charset val="134"/>
    </font>
    <font>
      <sz val="14"/>
      <name val="宋体"/>
      <charset val="134"/>
    </font>
    <font>
      <sz val="12"/>
      <name val="楷体_GB2312"/>
      <charset val="134"/>
    </font>
    <font>
      <sz val="10"/>
      <name val="仿宋_GB2312"/>
      <charset val="134"/>
    </font>
    <font>
      <sz val="12"/>
      <name val="仿宋_GB2312"/>
      <charset val="134"/>
    </font>
    <font>
      <sz val="14"/>
      <name val="Times New Roman"/>
      <charset val="134"/>
    </font>
    <font>
      <sz val="11"/>
      <name val="仿宋_GB2312"/>
      <charset val="134"/>
    </font>
    <font>
      <b/>
      <sz val="14"/>
      <name val="黑体"/>
      <charset val="134"/>
    </font>
    <font>
      <b/>
      <sz val="14"/>
      <name val="Times New Roman"/>
      <charset val="134"/>
    </font>
    <font>
      <sz val="20"/>
      <name val="楷体_GB2312"/>
      <charset val="134"/>
    </font>
    <font>
      <sz val="18"/>
      <name val="楷体_GB2312"/>
      <charset val="134"/>
    </font>
    <font>
      <sz val="16"/>
      <name val="楷体_GB2312"/>
      <charset val="134"/>
    </font>
    <font>
      <sz val="16"/>
      <name val="宋体"/>
      <charset val="134"/>
    </font>
    <font>
      <sz val="24"/>
      <name val="方正小标宋简体"/>
      <charset val="134"/>
    </font>
    <font>
      <sz val="11"/>
      <name val="Times New Roman"/>
      <charset val="134"/>
    </font>
    <font>
      <sz val="24"/>
      <name val="宋体"/>
      <charset val="134"/>
    </font>
    <font>
      <sz val="22"/>
      <name val="宋体"/>
      <charset val="134"/>
    </font>
    <font>
      <sz val="32"/>
      <name val="方正小标宋_GBK"/>
      <charset val="134"/>
    </font>
    <font>
      <sz val="24"/>
      <name val="Times New Roman"/>
      <charset val="134"/>
    </font>
    <font>
      <sz val="22"/>
      <name val="Times New Roman"/>
      <charset val="134"/>
    </font>
    <font>
      <b/>
      <sz val="11"/>
      <color indexed="10"/>
      <name val="宋体"/>
      <charset val="134"/>
    </font>
    <font>
      <sz val="11"/>
      <color theme="1"/>
      <name val="宋体"/>
      <charset val="134"/>
      <scheme val="minor"/>
    </font>
    <font>
      <sz val="11"/>
      <color indexed="52"/>
      <name val="宋体"/>
      <charset val="134"/>
    </font>
    <font>
      <sz val="11"/>
      <color indexed="62"/>
      <name val="宋体"/>
      <charset val="134"/>
    </font>
    <font>
      <sz val="11"/>
      <color indexed="9"/>
      <name val="宋体"/>
      <charset val="134"/>
    </font>
    <font>
      <sz val="11"/>
      <color indexed="20"/>
      <name val="宋体"/>
      <charset val="134"/>
    </font>
    <font>
      <i/>
      <sz val="11"/>
      <color indexed="23"/>
      <name val="宋体"/>
      <charset val="134"/>
    </font>
    <font>
      <sz val="10"/>
      <name val="楷体_GB2312"/>
      <charset val="134"/>
    </font>
    <font>
      <sz val="11"/>
      <color indexed="17"/>
      <name val="宋体"/>
      <charset val="134"/>
    </font>
    <font>
      <u/>
      <sz val="11"/>
      <color rgb="FF0000FF"/>
      <name val="宋体"/>
      <charset val="0"/>
      <scheme val="minor"/>
    </font>
    <font>
      <u/>
      <sz val="11"/>
      <color rgb="FF800080"/>
      <name val="宋体"/>
      <charset val="0"/>
      <scheme val="minor"/>
    </font>
    <font>
      <sz val="10"/>
      <name val="Arial"/>
      <charset val="134"/>
    </font>
    <font>
      <b/>
      <sz val="11"/>
      <color indexed="62"/>
      <name val="宋体"/>
      <charset val="134"/>
    </font>
    <font>
      <b/>
      <sz val="11"/>
      <color indexed="42"/>
      <name val="宋体"/>
      <charset val="134"/>
    </font>
    <font>
      <b/>
      <sz val="18"/>
      <color indexed="62"/>
      <name val="宋体"/>
      <charset val="134"/>
    </font>
    <font>
      <b/>
      <sz val="15"/>
      <color indexed="62"/>
      <name val="宋体"/>
      <charset val="134"/>
    </font>
    <font>
      <sz val="11"/>
      <color indexed="60"/>
      <name val="宋体"/>
      <charset val="134"/>
    </font>
    <font>
      <b/>
      <sz val="13"/>
      <color indexed="62"/>
      <name val="宋体"/>
      <charset val="134"/>
    </font>
    <font>
      <b/>
      <sz val="11"/>
      <color indexed="52"/>
      <name val="宋体"/>
      <charset val="134"/>
    </font>
    <font>
      <b/>
      <sz val="11"/>
      <color indexed="8"/>
      <name val="宋体"/>
      <charset val="134"/>
    </font>
    <font>
      <b/>
      <sz val="11"/>
      <color indexed="63"/>
      <name val="宋体"/>
      <charset val="134"/>
    </font>
    <font>
      <sz val="12"/>
      <color indexed="8"/>
      <name val="宋体"/>
      <charset val="134"/>
    </font>
    <font>
      <sz val="9"/>
      <name val="宋体"/>
      <charset val="134"/>
    </font>
    <font>
      <vertAlign val="superscript"/>
      <sz val="11"/>
      <name val="宋体"/>
      <charset val="134"/>
    </font>
    <font>
      <sz val="24"/>
      <name val="方正黑体_GBK"/>
      <charset val="134"/>
    </font>
    <font>
      <sz val="11"/>
      <name val="方正黑体_GBK"/>
      <charset val="134"/>
    </font>
  </fonts>
  <fills count="19">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indexed="22"/>
        <bgColor indexed="64"/>
      </patternFill>
    </fill>
    <fill>
      <patternFill patternType="solid">
        <fgColor indexed="45"/>
        <bgColor indexed="64"/>
      </patternFill>
    </fill>
    <fill>
      <patternFill patternType="solid">
        <fgColor indexed="26"/>
        <bgColor indexed="64"/>
      </patternFill>
    </fill>
    <fill>
      <patternFill patternType="solid">
        <fgColor indexed="43"/>
        <bgColor indexed="64"/>
      </patternFill>
    </fill>
    <fill>
      <patternFill patternType="solid">
        <fgColor indexed="55"/>
        <bgColor indexed="64"/>
      </patternFill>
    </fill>
    <fill>
      <patternFill patternType="solid">
        <fgColor indexed="31"/>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62"/>
        <bgColor indexed="64"/>
      </patternFill>
    </fill>
    <fill>
      <patternFill patternType="solid">
        <fgColor indexed="57"/>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right/>
      <top/>
      <bottom style="thin">
        <color auto="1"/>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s>
  <cellStyleXfs count="283">
    <xf numFmtId="0" fontId="0" fillId="0" borderId="0"/>
    <xf numFmtId="0" fontId="14" fillId="0" borderId="0"/>
    <xf numFmtId="42" fontId="47" fillId="0" borderId="0" applyFont="0" applyFill="0" applyBorder="0" applyAlignment="0" applyProtection="0">
      <alignment vertical="center"/>
    </xf>
    <xf numFmtId="0" fontId="11" fillId="2" borderId="0" applyNumberFormat="0" applyBorder="0" applyAlignment="0" applyProtection="0">
      <alignment vertical="center"/>
    </xf>
    <xf numFmtId="0" fontId="49" fillId="6" borderId="12" applyNumberFormat="0" applyAlignment="0" applyProtection="0">
      <alignment vertical="center"/>
    </xf>
    <xf numFmtId="0" fontId="14" fillId="0" borderId="0"/>
    <xf numFmtId="44" fontId="47" fillId="0" borderId="0" applyFont="0" applyFill="0" applyBorder="0" applyAlignment="0" applyProtection="0">
      <alignment vertical="center"/>
    </xf>
    <xf numFmtId="0" fontId="14" fillId="0" borderId="0"/>
    <xf numFmtId="41" fontId="47" fillId="0" borderId="0" applyFont="0" applyFill="0" applyBorder="0" applyAlignment="0" applyProtection="0">
      <alignment vertical="center"/>
    </xf>
    <xf numFmtId="0" fontId="11" fillId="7" borderId="0" applyNumberFormat="0" applyBorder="0" applyAlignment="0" applyProtection="0">
      <alignment vertical="center"/>
    </xf>
    <xf numFmtId="0" fontId="51" fillId="8" borderId="0" applyNumberFormat="0" applyBorder="0" applyAlignment="0" applyProtection="0">
      <alignment vertical="center"/>
    </xf>
    <xf numFmtId="43" fontId="53" fillId="0" borderId="0" applyFont="0" applyFill="0" applyBorder="0" applyAlignment="0" applyProtection="0"/>
    <xf numFmtId="0" fontId="50" fillId="7" borderId="0" applyNumberFormat="0" applyBorder="0" applyAlignment="0" applyProtection="0">
      <alignment vertical="center"/>
    </xf>
    <xf numFmtId="0" fontId="55" fillId="0" borderId="0" applyNumberFormat="0" applyFill="0" applyBorder="0" applyAlignment="0" applyProtection="0">
      <alignment vertical="center"/>
    </xf>
    <xf numFmtId="0" fontId="11" fillId="0" borderId="0">
      <alignment vertical="center"/>
    </xf>
    <xf numFmtId="9" fontId="47" fillId="0" borderId="0" applyFont="0" applyFill="0" applyBorder="0" applyAlignment="0" applyProtection="0">
      <alignment vertical="center"/>
    </xf>
    <xf numFmtId="0" fontId="56" fillId="0" borderId="0" applyNumberFormat="0" applyFill="0" applyBorder="0" applyAlignment="0" applyProtection="0">
      <alignment vertical="center"/>
    </xf>
    <xf numFmtId="0" fontId="14" fillId="0" borderId="0">
      <alignment vertical="center"/>
    </xf>
    <xf numFmtId="0" fontId="53" fillId="9" borderId="13" applyNumberFormat="0" applyFont="0" applyAlignment="0" applyProtection="0">
      <alignment vertical="center"/>
    </xf>
    <xf numFmtId="0" fontId="50" fillId="6" borderId="0" applyNumberFormat="0" applyBorder="0" applyAlignment="0" applyProtection="0">
      <alignment vertical="center"/>
    </xf>
    <xf numFmtId="0" fontId="11" fillId="0" borderId="0">
      <alignment vertical="center"/>
    </xf>
    <xf numFmtId="0" fontId="58" fillId="0" borderId="0" applyNumberFormat="0" applyFill="0" applyBorder="0" applyAlignment="0" applyProtection="0">
      <alignment vertical="center"/>
    </xf>
    <xf numFmtId="0" fontId="11" fillId="0" borderId="0">
      <alignment vertical="center"/>
    </xf>
    <xf numFmtId="0" fontId="14" fillId="0" borderId="0"/>
    <xf numFmtId="0" fontId="10" fillId="0" borderId="0" applyNumberFormat="0" applyFill="0" applyBorder="0" applyAlignment="0" applyProtection="0">
      <alignment vertical="center"/>
    </xf>
    <xf numFmtId="0" fontId="25" fillId="0" borderId="0"/>
    <xf numFmtId="0" fontId="11" fillId="0" borderId="0">
      <alignment vertical="center"/>
    </xf>
    <xf numFmtId="0" fontId="60" fillId="0" borderId="0" applyNumberFormat="0" applyFill="0" applyBorder="0" applyAlignment="0" applyProtection="0">
      <alignment vertical="center"/>
    </xf>
    <xf numFmtId="0" fontId="57" fillId="0" borderId="0"/>
    <xf numFmtId="0" fontId="57" fillId="0" borderId="0"/>
    <xf numFmtId="0" fontId="52" fillId="0" borderId="0" applyNumberFormat="0" applyFill="0" applyBorder="0" applyAlignment="0" applyProtection="0">
      <alignment vertical="center"/>
    </xf>
    <xf numFmtId="0" fontId="25" fillId="0" borderId="0"/>
    <xf numFmtId="0" fontId="61" fillId="0" borderId="15" applyNumberFormat="0" applyFill="0" applyAlignment="0" applyProtection="0">
      <alignment vertical="center"/>
    </xf>
    <xf numFmtId="0" fontId="14" fillId="0" borderId="0">
      <alignment vertical="center"/>
    </xf>
    <xf numFmtId="0" fontId="57" fillId="0" borderId="0"/>
    <xf numFmtId="0" fontId="11" fillId="0" borderId="0">
      <alignment vertical="center"/>
    </xf>
    <xf numFmtId="0" fontId="53" fillId="0" borderId="0"/>
    <xf numFmtId="0" fontId="63" fillId="0" borderId="16" applyNumberFormat="0" applyFill="0" applyAlignment="0" applyProtection="0">
      <alignment vertical="center"/>
    </xf>
    <xf numFmtId="0" fontId="50" fillId="4" borderId="0" applyNumberFormat="0" applyBorder="0" applyAlignment="0" applyProtection="0">
      <alignment vertical="center"/>
    </xf>
    <xf numFmtId="0" fontId="14" fillId="0" borderId="0"/>
    <xf numFmtId="0" fontId="11" fillId="0" borderId="0">
      <alignment vertical="center"/>
    </xf>
    <xf numFmtId="0" fontId="58" fillId="0" borderId="17" applyNumberFormat="0" applyFill="0" applyAlignment="0" applyProtection="0">
      <alignment vertical="center"/>
    </xf>
    <xf numFmtId="0" fontId="50" fillId="10" borderId="0" applyNumberFormat="0" applyBorder="0" applyAlignment="0" applyProtection="0">
      <alignment vertical="center"/>
    </xf>
    <xf numFmtId="0" fontId="66" fillId="2" borderId="19" applyNumberFormat="0" applyAlignment="0" applyProtection="0">
      <alignment vertical="center"/>
    </xf>
    <xf numFmtId="0" fontId="64" fillId="2" borderId="12" applyNumberFormat="0" applyAlignment="0" applyProtection="0">
      <alignment vertical="center"/>
    </xf>
    <xf numFmtId="0" fontId="11" fillId="0" borderId="0">
      <alignment vertical="center"/>
    </xf>
    <xf numFmtId="0" fontId="59" fillId="11" borderId="14" applyNumberFormat="0" applyAlignment="0" applyProtection="0">
      <alignment vertical="center"/>
    </xf>
    <xf numFmtId="0" fontId="11" fillId="0" borderId="0">
      <alignment vertical="center"/>
    </xf>
    <xf numFmtId="0" fontId="11" fillId="5" borderId="0" applyNumberFormat="0" applyBorder="0" applyAlignment="0" applyProtection="0">
      <alignment vertical="center"/>
    </xf>
    <xf numFmtId="0" fontId="50" fillId="15" borderId="0" applyNumberFormat="0" applyBorder="0" applyAlignment="0" applyProtection="0">
      <alignment vertical="center"/>
    </xf>
    <xf numFmtId="0" fontId="48" fillId="0" borderId="11" applyNumberFormat="0" applyFill="0" applyAlignment="0" applyProtection="0">
      <alignment vertical="center"/>
    </xf>
    <xf numFmtId="0" fontId="65" fillId="0" borderId="18" applyNumberFormat="0" applyFill="0" applyAlignment="0" applyProtection="0">
      <alignment vertical="center"/>
    </xf>
    <xf numFmtId="0" fontId="54" fillId="5" borderId="0" applyNumberFormat="0" applyBorder="0" applyAlignment="0" applyProtection="0">
      <alignment vertical="center"/>
    </xf>
    <xf numFmtId="0" fontId="62" fillId="10" borderId="0" applyNumberFormat="0" applyBorder="0" applyAlignment="0" applyProtection="0">
      <alignment vertical="center"/>
    </xf>
    <xf numFmtId="0" fontId="11" fillId="0" borderId="0">
      <alignment vertical="center"/>
    </xf>
    <xf numFmtId="0" fontId="11" fillId="12" borderId="0" applyNumberFormat="0" applyBorder="0" applyAlignment="0" applyProtection="0">
      <alignment vertical="center"/>
    </xf>
    <xf numFmtId="0" fontId="50" fillId="13" borderId="0" applyNumberFormat="0" applyBorder="0" applyAlignment="0" applyProtection="0">
      <alignment vertical="center"/>
    </xf>
    <xf numFmtId="0" fontId="14" fillId="0" borderId="0"/>
    <xf numFmtId="0" fontId="11" fillId="14" borderId="0" applyNumberFormat="0" applyBorder="0" applyAlignment="0" applyProtection="0">
      <alignment vertical="center"/>
    </xf>
    <xf numFmtId="0" fontId="11" fillId="4"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4" fillId="0" borderId="0"/>
    <xf numFmtId="0" fontId="50" fillId="11" borderId="0" applyNumberFormat="0" applyBorder="0" applyAlignment="0" applyProtection="0">
      <alignment vertical="center"/>
    </xf>
    <xf numFmtId="0" fontId="53" fillId="0" borderId="0">
      <alignment vertical="center"/>
    </xf>
    <xf numFmtId="0" fontId="50" fillId="16"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50" fillId="17" borderId="0" applyNumberFormat="0" applyBorder="0" applyAlignment="0" applyProtection="0">
      <alignment vertical="center"/>
    </xf>
    <xf numFmtId="0" fontId="11" fillId="4" borderId="0" applyNumberFormat="0" applyBorder="0" applyAlignment="0" applyProtection="0">
      <alignment vertical="center"/>
    </xf>
    <xf numFmtId="0" fontId="14" fillId="0" borderId="0"/>
    <xf numFmtId="0" fontId="14" fillId="0" borderId="0"/>
    <xf numFmtId="0" fontId="50" fillId="13" borderId="0" applyNumberFormat="0" applyBorder="0" applyAlignment="0" applyProtection="0">
      <alignment vertical="center"/>
    </xf>
    <xf numFmtId="0" fontId="50" fillId="18" borderId="0" applyNumberFormat="0" applyBorder="0" applyAlignment="0" applyProtection="0">
      <alignment vertical="center"/>
    </xf>
    <xf numFmtId="0" fontId="62" fillId="10" borderId="0" applyNumberFormat="0" applyBorder="0" applyAlignment="0" applyProtection="0">
      <alignment vertical="center"/>
    </xf>
    <xf numFmtId="0" fontId="11" fillId="10" borderId="0" applyNumberFormat="0" applyBorder="0" applyAlignment="0" applyProtection="0">
      <alignment vertical="center"/>
    </xf>
    <xf numFmtId="0" fontId="14" fillId="0" borderId="0"/>
    <xf numFmtId="0" fontId="14" fillId="0" borderId="0"/>
    <xf numFmtId="0" fontId="50" fillId="18" borderId="0" applyNumberFormat="0" applyBorder="0" applyAlignment="0" applyProtection="0">
      <alignment vertical="center"/>
    </xf>
    <xf numFmtId="0" fontId="14" fillId="0" borderId="0"/>
    <xf numFmtId="0" fontId="57" fillId="0" borderId="0"/>
    <xf numFmtId="0" fontId="14" fillId="0" borderId="0"/>
    <xf numFmtId="0" fontId="11" fillId="0" borderId="0">
      <alignment vertical="center"/>
    </xf>
    <xf numFmtId="0" fontId="57" fillId="0" borderId="0">
      <alignment vertical="center"/>
    </xf>
    <xf numFmtId="0" fontId="14" fillId="0" borderId="0"/>
    <xf numFmtId="0" fontId="57" fillId="0" borderId="0"/>
    <xf numFmtId="0" fontId="25" fillId="0" borderId="0"/>
    <xf numFmtId="0" fontId="57" fillId="0" borderId="0"/>
    <xf numFmtId="0" fontId="14" fillId="0" borderId="0"/>
    <xf numFmtId="0" fontId="57" fillId="0" borderId="0"/>
    <xf numFmtId="0" fontId="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xf numFmtId="0" fontId="14" fillId="0" borderId="0"/>
    <xf numFmtId="0" fontId="14" fillId="0" borderId="0"/>
    <xf numFmtId="0" fontId="14" fillId="0" borderId="0">
      <alignment vertical="center"/>
    </xf>
    <xf numFmtId="0" fontId="53" fillId="0" borderId="0"/>
    <xf numFmtId="0" fontId="14" fillId="0" borderId="0"/>
    <xf numFmtId="0" fontId="11" fillId="0" borderId="0">
      <alignment vertical="center"/>
    </xf>
    <xf numFmtId="0" fontId="53" fillId="0" borderId="0"/>
    <xf numFmtId="0" fontId="14" fillId="0" borderId="0">
      <alignment vertical="center"/>
    </xf>
    <xf numFmtId="0" fontId="53" fillId="0" borderId="0"/>
    <xf numFmtId="0" fontId="11" fillId="0" borderId="0">
      <alignment vertical="center"/>
    </xf>
    <xf numFmtId="0" fontId="53" fillId="0" borderId="0"/>
    <xf numFmtId="0" fontId="53" fillId="0" borderId="0"/>
    <xf numFmtId="0" fontId="53" fillId="0" borderId="0"/>
    <xf numFmtId="0" fontId="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0" borderId="0"/>
    <xf numFmtId="0" fontId="51" fillId="8" borderId="0" applyNumberFormat="0" applyBorder="0" applyAlignment="0" applyProtection="0">
      <alignment vertical="center"/>
    </xf>
    <xf numFmtId="0" fontId="51" fillId="8" borderId="0" applyNumberFormat="0" applyBorder="0" applyAlignment="0" applyProtection="0">
      <alignment vertical="center"/>
    </xf>
    <xf numFmtId="0" fontId="51" fillId="8" borderId="0" applyNumberFormat="0" applyBorder="0" applyAlignment="0" applyProtection="0">
      <alignment vertical="center"/>
    </xf>
    <xf numFmtId="0" fontId="51" fillId="8" borderId="0" applyNumberFormat="0" applyBorder="0" applyAlignment="0" applyProtection="0">
      <alignment vertical="center"/>
    </xf>
    <xf numFmtId="0" fontId="51" fillId="8" borderId="0" applyNumberFormat="0" applyBorder="0" applyAlignment="0" applyProtection="0">
      <alignment vertical="center"/>
    </xf>
    <xf numFmtId="0" fontId="14" fillId="0" borderId="0"/>
    <xf numFmtId="0" fontId="14" fillId="0" borderId="0">
      <alignment vertical="center"/>
    </xf>
    <xf numFmtId="0" fontId="11" fillId="0" borderId="0">
      <alignment vertical="center"/>
    </xf>
    <xf numFmtId="0" fontId="11" fillId="0" borderId="0">
      <alignment vertical="center"/>
    </xf>
    <xf numFmtId="0" fontId="14" fillId="0" borderId="0">
      <alignment vertical="center"/>
    </xf>
    <xf numFmtId="0" fontId="53"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11"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alignment vertical="center"/>
    </xf>
    <xf numFmtId="0" fontId="11" fillId="0" borderId="0">
      <alignment vertical="center"/>
    </xf>
    <xf numFmtId="0" fontId="11" fillId="0" borderId="0">
      <alignment vertical="center"/>
    </xf>
    <xf numFmtId="0" fontId="14" fillId="0" borderId="0"/>
    <xf numFmtId="0" fontId="14" fillId="0" borderId="0"/>
    <xf numFmtId="0" fontId="14" fillId="0" borderId="0"/>
    <xf numFmtId="0" fontId="14" fillId="0" borderId="0"/>
    <xf numFmtId="0" fontId="14"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4" fillId="0" borderId="0"/>
    <xf numFmtId="0" fontId="14" fillId="0" borderId="0"/>
    <xf numFmtId="0" fontId="11" fillId="0" borderId="0">
      <alignment vertical="center"/>
    </xf>
    <xf numFmtId="0" fontId="11" fillId="0" borderId="0">
      <alignment vertical="center"/>
    </xf>
    <xf numFmtId="0" fontId="11" fillId="0" borderId="0">
      <alignment vertical="center"/>
    </xf>
    <xf numFmtId="0" fontId="14" fillId="0" borderId="0"/>
    <xf numFmtId="0" fontId="11" fillId="0" borderId="0">
      <alignment vertical="center"/>
    </xf>
    <xf numFmtId="0" fontId="54" fillId="5" borderId="0" applyNumberFormat="0" applyBorder="0" applyAlignment="0" applyProtection="0">
      <alignment vertical="center"/>
    </xf>
    <xf numFmtId="0" fontId="11" fillId="0" borderId="0">
      <alignment vertical="center"/>
    </xf>
    <xf numFmtId="0" fontId="54" fillId="5"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54" fillId="5" borderId="0" applyNumberFormat="0" applyBorder="0" applyAlignment="0" applyProtection="0">
      <alignment vertical="center"/>
    </xf>
    <xf numFmtId="0" fontId="68"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alignment vertical="center"/>
    </xf>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53" fillId="0" borderId="0">
      <alignment vertical="center"/>
    </xf>
    <xf numFmtId="0" fontId="11" fillId="0" borderId="0">
      <alignment vertical="center"/>
    </xf>
    <xf numFmtId="0" fontId="11" fillId="0" borderId="0">
      <alignment vertical="center"/>
    </xf>
    <xf numFmtId="0" fontId="53" fillId="0" borderId="0">
      <alignment vertical="center"/>
    </xf>
    <xf numFmtId="0" fontId="57" fillId="0" borderId="0"/>
    <xf numFmtId="0" fontId="54" fillId="5" borderId="0" applyNumberFormat="0" applyBorder="0" applyAlignment="0" applyProtection="0">
      <alignment vertical="center"/>
    </xf>
    <xf numFmtId="0" fontId="57" fillId="0" borderId="0"/>
    <xf numFmtId="0" fontId="67" fillId="0" borderId="0"/>
    <xf numFmtId="0" fontId="67" fillId="0" borderId="0"/>
    <xf numFmtId="0" fontId="14" fillId="0" borderId="0"/>
    <xf numFmtId="0" fontId="14" fillId="0" borderId="0"/>
    <xf numFmtId="0" fontId="14" fillId="0" borderId="0"/>
    <xf numFmtId="0" fontId="14" fillId="0" borderId="0"/>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54" fillId="5" borderId="0" applyNumberFormat="0" applyBorder="0" applyAlignment="0" applyProtection="0">
      <alignment vertical="center"/>
    </xf>
    <xf numFmtId="0" fontId="62" fillId="10" borderId="0" applyNumberFormat="0" applyBorder="0" applyAlignment="0" applyProtection="0">
      <alignment vertical="center"/>
    </xf>
    <xf numFmtId="0" fontId="57" fillId="0" borderId="0"/>
    <xf numFmtId="0" fontId="57" fillId="0" borderId="0"/>
  </cellStyleXfs>
  <cellXfs count="935">
    <xf numFmtId="0" fontId="0" fillId="0" borderId="0" xfId="0" applyFont="1"/>
    <xf numFmtId="0" fontId="0" fillId="0" borderId="0" xfId="0" applyFont="1" applyFill="1"/>
    <xf numFmtId="0" fontId="1" fillId="0" borderId="0" xfId="0" applyFont="1" applyFill="1"/>
    <xf numFmtId="0" fontId="1" fillId="0" borderId="0" xfId="0" applyFont="1" applyFill="1" applyAlignment="1">
      <alignment horizontal="center"/>
    </xf>
    <xf numFmtId="0" fontId="0" fillId="2" borderId="0" xfId="0" applyFont="1" applyFill="1"/>
    <xf numFmtId="0" fontId="2" fillId="2" borderId="0" xfId="0" applyFont="1" applyFill="1"/>
    <xf numFmtId="0" fontId="3" fillId="2" borderId="0" xfId="0" applyNumberFormat="1" applyFont="1" applyFill="1" applyBorder="1" applyAlignment="1">
      <alignment horizontal="center" vertical="center" wrapText="1"/>
    </xf>
    <xf numFmtId="0" fontId="4" fillId="2" borderId="0" xfId="0" applyFont="1" applyFill="1"/>
    <xf numFmtId="0" fontId="5" fillId="2" borderId="0" xfId="0" applyFont="1" applyFill="1"/>
    <xf numFmtId="0" fontId="1" fillId="2" borderId="0" xfId="0" applyFont="1" applyFill="1"/>
    <xf numFmtId="0" fontId="4" fillId="2" borderId="0"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1" fillId="0" borderId="0" xfId="0" applyFont="1" applyFill="1" applyBorder="1" applyAlignment="1">
      <alignment horizontal="left" vertical="center"/>
    </xf>
    <xf numFmtId="0" fontId="1" fillId="0" borderId="0" xfId="0" applyFont="1" applyFill="1" applyBorder="1" applyAlignment="1">
      <alignment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179" fontId="1" fillId="0" borderId="0" xfId="0" applyNumberFormat="1" applyFont="1" applyFill="1" applyAlignment="1">
      <alignment horizontal="center" vertical="center"/>
    </xf>
    <xf numFmtId="179" fontId="4" fillId="0" borderId="0" xfId="0" applyNumberFormat="1" applyFont="1" applyFill="1" applyAlignment="1">
      <alignment horizontal="center" vertical="center"/>
    </xf>
    <xf numFmtId="0" fontId="8" fillId="0" borderId="1" xfId="0"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179" fontId="8" fillId="0" borderId="1" xfId="0" applyNumberFormat="1" applyFont="1" applyFill="1" applyBorder="1" applyAlignment="1" applyProtection="1">
      <alignment horizontal="center" vertical="center" wrapText="1"/>
    </xf>
    <xf numFmtId="179" fontId="8" fillId="0" borderId="1" xfId="281" applyNumberFormat="1"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181" fontId="10" fillId="0" borderId="1" xfId="0" applyNumberFormat="1" applyFont="1" applyFill="1" applyBorder="1" applyAlignment="1">
      <alignment horizontal="left" vertical="center" wrapText="1"/>
    </xf>
    <xf numFmtId="0" fontId="10" fillId="0" borderId="1" xfId="0" applyFont="1" applyFill="1" applyBorder="1" applyAlignment="1">
      <alignment horizontal="center" vertical="center" wrapText="1"/>
    </xf>
    <xf numFmtId="183" fontId="10" fillId="0" borderId="1" xfId="0" applyNumberFormat="1" applyFont="1" applyFill="1" applyBorder="1" applyAlignment="1">
      <alignment horizontal="center" vertical="center"/>
    </xf>
    <xf numFmtId="177" fontId="10" fillId="2" borderId="1" xfId="0" applyNumberFormat="1"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177" fontId="9" fillId="2"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177" fontId="9" fillId="2" borderId="1" xfId="0" applyNumberFormat="1" applyFont="1" applyFill="1" applyBorder="1" applyAlignment="1">
      <alignment horizontal="center" vertical="center"/>
    </xf>
    <xf numFmtId="0" fontId="10" fillId="2" borderId="1" xfId="36" applyFont="1" applyFill="1" applyBorder="1" applyAlignment="1" applyProtection="1">
      <alignment horizontal="left" vertical="center" wrapText="1"/>
    </xf>
    <xf numFmtId="0" fontId="10" fillId="2" borderId="1" xfId="119" applyFont="1" applyFill="1" applyBorder="1" applyAlignment="1">
      <alignment horizontal="center" vertical="center" wrapText="1"/>
    </xf>
    <xf numFmtId="181" fontId="10" fillId="2" borderId="1" xfId="0" applyNumberFormat="1" applyFont="1" applyFill="1" applyBorder="1" applyAlignment="1">
      <alignment vertical="center" wrapText="1"/>
    </xf>
    <xf numFmtId="183" fontId="10" fillId="2" borderId="1" xfId="0" applyNumberFormat="1" applyFont="1" applyFill="1" applyBorder="1" applyAlignment="1">
      <alignment horizontal="center" vertical="center"/>
    </xf>
    <xf numFmtId="0" fontId="10" fillId="2" borderId="1" xfId="0" applyFont="1" applyFill="1" applyBorder="1" applyAlignment="1">
      <alignment vertical="center" wrapText="1"/>
    </xf>
    <xf numFmtId="57" fontId="10" fillId="2" borderId="1" xfId="0"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183" fontId="9" fillId="0" borderId="1" xfId="0" applyNumberFormat="1" applyFont="1" applyFill="1" applyBorder="1" applyAlignment="1">
      <alignment horizontal="center" vertical="center"/>
    </xf>
    <xf numFmtId="0" fontId="9" fillId="0" borderId="1" xfId="165" applyFont="1" applyFill="1" applyBorder="1" applyAlignment="1">
      <alignment horizontal="center" vertical="center" wrapText="1"/>
    </xf>
    <xf numFmtId="0" fontId="9" fillId="0" borderId="1" xfId="119" applyFont="1" applyFill="1" applyBorder="1" applyAlignment="1">
      <alignment horizontal="center" vertical="center" wrapText="1"/>
    </xf>
    <xf numFmtId="183" fontId="9" fillId="0" borderId="1" xfId="0" applyNumberFormat="1" applyFont="1" applyFill="1" applyBorder="1" applyAlignment="1">
      <alignment horizontal="center" vertical="center" wrapText="1"/>
    </xf>
    <xf numFmtId="183" fontId="9" fillId="2" borderId="1" xfId="0" applyNumberFormat="1" applyFont="1" applyFill="1" applyBorder="1" applyAlignment="1">
      <alignment horizontal="center" vertical="center" wrapText="1"/>
    </xf>
    <xf numFmtId="179" fontId="11" fillId="2" borderId="1" xfId="0" applyNumberFormat="1" applyFont="1" applyFill="1" applyBorder="1" applyAlignment="1" applyProtection="1">
      <alignment horizontal="left" vertical="center" wrapText="1"/>
    </xf>
    <xf numFmtId="179" fontId="11" fillId="2" borderId="1" xfId="0" applyNumberFormat="1" applyFont="1" applyFill="1" applyBorder="1" applyAlignment="1" applyProtection="1">
      <alignment horizontal="center" vertical="center" wrapText="1"/>
    </xf>
    <xf numFmtId="179" fontId="11" fillId="2" borderId="1" xfId="0" applyNumberFormat="1" applyFont="1" applyFill="1" applyBorder="1" applyAlignment="1" applyProtection="1">
      <alignment vertical="center" wrapText="1"/>
    </xf>
    <xf numFmtId="179" fontId="9" fillId="2" borderId="1" xfId="0" applyNumberFormat="1" applyFont="1" applyFill="1" applyBorder="1" applyAlignment="1" applyProtection="1">
      <alignment vertical="center" wrapText="1"/>
    </xf>
    <xf numFmtId="0" fontId="9" fillId="2" borderId="1" xfId="0" applyFont="1" applyFill="1" applyBorder="1" applyAlignment="1">
      <alignment vertical="center" wrapText="1"/>
    </xf>
    <xf numFmtId="183" fontId="9" fillId="2"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xf>
    <xf numFmtId="0" fontId="9" fillId="2" borderId="1" xfId="36" applyFont="1" applyFill="1" applyBorder="1" applyAlignment="1" applyProtection="1">
      <alignment horizontal="left" vertical="center" wrapText="1"/>
    </xf>
    <xf numFmtId="0" fontId="9" fillId="2" borderId="1" xfId="36" applyFont="1" applyFill="1" applyBorder="1" applyAlignment="1" applyProtection="1">
      <alignment horizontal="center" vertical="center" wrapText="1"/>
    </xf>
    <xf numFmtId="0" fontId="9" fillId="2" borderId="1" xfId="36" applyFont="1" applyFill="1" applyBorder="1" applyAlignment="1" applyProtection="1">
      <alignment vertical="center" wrapText="1"/>
    </xf>
    <xf numFmtId="183" fontId="9" fillId="2" borderId="1" xfId="36" applyNumberFormat="1" applyFont="1" applyFill="1" applyBorder="1" applyAlignment="1" applyProtection="1">
      <alignment horizontal="center" vertical="center" wrapText="1"/>
    </xf>
    <xf numFmtId="179" fontId="9" fillId="0" borderId="1" xfId="273" applyNumberFormat="1" applyFont="1" applyFill="1" applyBorder="1" applyAlignment="1">
      <alignment horizontal="left" vertical="center" wrapText="1"/>
    </xf>
    <xf numFmtId="181" fontId="9" fillId="0" borderId="1" xfId="0" applyNumberFormat="1" applyFont="1" applyFill="1" applyBorder="1" applyAlignment="1">
      <alignment horizontal="left" vertical="center" wrapText="1"/>
    </xf>
    <xf numFmtId="57" fontId="9" fillId="2" borderId="1" xfId="0" applyNumberFormat="1" applyFont="1" applyFill="1" applyBorder="1" applyAlignment="1" applyProtection="1">
      <alignment horizontal="center" vertical="center" wrapText="1"/>
      <protection locked="0"/>
    </xf>
    <xf numFmtId="57" fontId="9" fillId="2" borderId="1" xfId="36" applyNumberFormat="1" applyFont="1" applyFill="1" applyBorder="1" applyAlignment="1" applyProtection="1">
      <alignment horizontal="center" vertical="center" wrapText="1"/>
    </xf>
    <xf numFmtId="0" fontId="9" fillId="2" borderId="1" xfId="0" applyFont="1" applyFill="1" applyBorder="1" applyAlignment="1" applyProtection="1">
      <alignment horizontal="left" vertical="center" wrapText="1"/>
    </xf>
    <xf numFmtId="179" fontId="9" fillId="2"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10" fillId="0" borderId="1" xfId="119" applyFont="1" applyFill="1" applyBorder="1" applyAlignment="1">
      <alignment horizontal="center" vertical="center" wrapText="1"/>
    </xf>
    <xf numFmtId="177"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179" fontId="9" fillId="2" borderId="1" xfId="0" applyNumberFormat="1" applyFont="1" applyFill="1" applyBorder="1" applyAlignment="1">
      <alignment horizontal="center" vertical="center" wrapText="1"/>
    </xf>
    <xf numFmtId="179" fontId="9" fillId="2" borderId="1" xfId="281" applyNumberFormat="1" applyFont="1" applyFill="1" applyBorder="1" applyAlignment="1" applyProtection="1">
      <alignment horizontal="center" vertical="center" wrapText="1"/>
      <protection locked="0"/>
    </xf>
    <xf numFmtId="179" fontId="9" fillId="2" borderId="1" xfId="281" applyNumberFormat="1" applyFont="1" applyFill="1" applyBorder="1" applyAlignment="1">
      <alignment horizontal="center" vertical="center" wrapText="1"/>
    </xf>
    <xf numFmtId="179" fontId="9" fillId="0" borderId="1" xfId="0" applyNumberFormat="1" applyFont="1" applyFill="1" applyBorder="1" applyAlignment="1" applyProtection="1">
      <alignment horizontal="left" vertical="center" wrapText="1"/>
    </xf>
    <xf numFmtId="179" fontId="9" fillId="0" borderId="1" xfId="0" applyNumberFormat="1" applyFont="1" applyFill="1" applyBorder="1" applyAlignment="1" applyProtection="1">
      <alignment horizontal="center" vertical="center" wrapText="1"/>
    </xf>
    <xf numFmtId="49" fontId="9" fillId="2" borderId="1" xfId="0" applyNumberFormat="1" applyFont="1" applyFill="1" applyBorder="1" applyAlignment="1">
      <alignment horizontal="center" vertical="center" wrapText="1"/>
    </xf>
    <xf numFmtId="179" fontId="10" fillId="3" borderId="1" xfId="0" applyNumberFormat="1" applyFont="1" applyFill="1" applyBorder="1" applyAlignment="1" applyProtection="1">
      <alignment horizontal="center" vertical="center" wrapText="1"/>
    </xf>
    <xf numFmtId="49" fontId="9" fillId="2" borderId="1" xfId="0" applyNumberFormat="1" applyFont="1" applyFill="1" applyBorder="1" applyAlignment="1">
      <alignment horizontal="center" vertical="center"/>
    </xf>
    <xf numFmtId="0" fontId="9" fillId="2" borderId="1" xfId="177" applyFont="1" applyFill="1" applyBorder="1" applyAlignment="1">
      <alignment horizontal="left" vertical="center" wrapText="1"/>
    </xf>
    <xf numFmtId="0" fontId="9" fillId="2" borderId="1" xfId="177" applyFont="1" applyFill="1" applyBorder="1" applyAlignment="1">
      <alignment vertical="center" wrapText="1"/>
    </xf>
    <xf numFmtId="0" fontId="9" fillId="2" borderId="1" xfId="119" applyFont="1" applyFill="1" applyBorder="1" applyAlignment="1">
      <alignment horizontal="left" vertical="center" wrapText="1"/>
    </xf>
    <xf numFmtId="0" fontId="9" fillId="2" borderId="1" xfId="119" applyFont="1" applyFill="1" applyBorder="1" applyAlignment="1">
      <alignment horizontal="center" vertical="center" wrapText="1"/>
    </xf>
    <xf numFmtId="0" fontId="9" fillId="2" borderId="1" xfId="0" applyFont="1" applyFill="1" applyBorder="1" applyAlignment="1" applyProtection="1">
      <alignment vertical="center" wrapText="1"/>
    </xf>
    <xf numFmtId="0" fontId="9" fillId="2" borderId="1" xfId="36" applyFont="1" applyFill="1" applyBorder="1" applyAlignment="1">
      <alignment horizontal="left" vertical="center" wrapText="1"/>
    </xf>
    <xf numFmtId="177" fontId="9" fillId="2" borderId="1" xfId="0" applyNumberFormat="1" applyFont="1" applyFill="1" applyBorder="1" applyAlignment="1">
      <alignment vertical="center" wrapText="1"/>
    </xf>
    <xf numFmtId="0" fontId="9" fillId="2" borderId="1" xfId="0" applyNumberFormat="1" applyFont="1" applyFill="1" applyBorder="1" applyAlignment="1" applyProtection="1">
      <alignment horizontal="left" vertical="center" wrapText="1"/>
    </xf>
    <xf numFmtId="0" fontId="9" fillId="2" borderId="1" xfId="0" applyNumberFormat="1" applyFont="1" applyFill="1" applyBorder="1" applyAlignment="1" applyProtection="1">
      <alignment horizontal="center" vertical="center" wrapText="1"/>
    </xf>
    <xf numFmtId="0" fontId="9" fillId="2" borderId="1" xfId="0" applyNumberFormat="1" applyFont="1" applyFill="1" applyBorder="1" applyAlignment="1" applyProtection="1">
      <alignment vertical="center" wrapText="1"/>
    </xf>
    <xf numFmtId="183" fontId="4" fillId="3" borderId="0" xfId="0" applyNumberFormat="1" applyFont="1" applyFill="1" applyAlignment="1">
      <alignment horizontal="center" vertical="center"/>
    </xf>
    <xf numFmtId="179" fontId="4" fillId="3" borderId="0" xfId="0" applyNumberFormat="1" applyFont="1" applyFill="1" applyAlignment="1">
      <alignment horizontal="center" vertical="center"/>
    </xf>
    <xf numFmtId="179" fontId="4" fillId="2" borderId="0" xfId="0" applyNumberFormat="1" applyFont="1" applyFill="1" applyAlignment="1">
      <alignment horizontal="left" vertical="center"/>
    </xf>
    <xf numFmtId="0" fontId="1" fillId="0" borderId="0" xfId="0" applyFont="1" applyFill="1" applyBorder="1" applyAlignment="1">
      <alignment horizontal="center" vertical="center" wrapText="1"/>
    </xf>
    <xf numFmtId="179" fontId="8" fillId="4" borderId="1" xfId="281" applyNumberFormat="1" applyFont="1" applyFill="1" applyBorder="1" applyAlignment="1" applyProtection="1">
      <alignment horizontal="center" vertical="center" wrapText="1"/>
    </xf>
    <xf numFmtId="177" fontId="8" fillId="2" borderId="1" xfId="0" applyNumberFormat="1" applyFont="1" applyFill="1" applyBorder="1" applyAlignment="1">
      <alignment horizontal="center" vertical="center" wrapText="1"/>
    </xf>
    <xf numFmtId="177" fontId="8" fillId="4"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83" fontId="8" fillId="4" borderId="1" xfId="281" applyNumberFormat="1" applyFont="1" applyFill="1" applyBorder="1" applyAlignment="1" applyProtection="1">
      <alignment horizontal="center" vertical="center" wrapText="1"/>
    </xf>
    <xf numFmtId="177" fontId="9" fillId="0" borderId="1" xfId="0" applyNumberFormat="1" applyFont="1" applyFill="1" applyBorder="1" applyAlignment="1">
      <alignment horizontal="left" vertical="center" wrapText="1"/>
    </xf>
    <xf numFmtId="183" fontId="10" fillId="2" borderId="1" xfId="0" applyNumberFormat="1" applyFont="1" applyFill="1" applyBorder="1" applyAlignment="1" applyProtection="1">
      <alignment horizontal="center" vertical="center" wrapText="1"/>
    </xf>
    <xf numFmtId="179" fontId="10" fillId="2" borderId="1" xfId="0" applyNumberFormat="1" applyFont="1" applyFill="1" applyBorder="1" applyAlignment="1" applyProtection="1">
      <alignment horizontal="center" vertical="center" wrapText="1"/>
    </xf>
    <xf numFmtId="0" fontId="10" fillId="0" borderId="1" xfId="0" applyNumberFormat="1" applyFont="1" applyFill="1" applyBorder="1" applyAlignment="1">
      <alignment horizontal="left" vertical="center" wrapText="1"/>
    </xf>
    <xf numFmtId="177" fontId="10" fillId="2" borderId="1" xfId="0" applyNumberFormat="1" applyFont="1" applyFill="1" applyBorder="1" applyAlignment="1">
      <alignment horizontal="left" vertical="center" wrapText="1"/>
    </xf>
    <xf numFmtId="177" fontId="10" fillId="2" borderId="1" xfId="0" applyNumberFormat="1" applyFont="1" applyFill="1" applyBorder="1" applyAlignment="1">
      <alignment vertical="center" wrapText="1"/>
    </xf>
    <xf numFmtId="179" fontId="10" fillId="0" borderId="1" xfId="0" applyNumberFormat="1" applyFont="1" applyFill="1" applyBorder="1" applyAlignment="1">
      <alignment horizontal="left" vertical="center" wrapText="1"/>
    </xf>
    <xf numFmtId="179" fontId="10" fillId="0" borderId="1" xfId="0" applyNumberFormat="1" applyFont="1" applyFill="1" applyBorder="1" applyAlignment="1" applyProtection="1">
      <alignment horizontal="center" vertical="center" wrapText="1"/>
    </xf>
    <xf numFmtId="183" fontId="9" fillId="2" borderId="1" xfId="0" applyNumberFormat="1" applyFont="1" applyFill="1" applyBorder="1" applyAlignment="1" applyProtection="1">
      <alignment horizontal="center" vertical="center" wrapText="1"/>
    </xf>
    <xf numFmtId="177" fontId="9" fillId="2" borderId="1" xfId="0" applyNumberFormat="1" applyFont="1" applyFill="1" applyBorder="1" applyAlignment="1">
      <alignment horizontal="left" vertical="center" wrapText="1"/>
    </xf>
    <xf numFmtId="183" fontId="10" fillId="2" borderId="1" xfId="0" applyNumberFormat="1" applyFont="1" applyFill="1" applyBorder="1" applyAlignment="1">
      <alignment horizontal="center" vertical="center" wrapText="1"/>
    </xf>
    <xf numFmtId="0" fontId="10" fillId="2" borderId="1" xfId="36" applyFont="1" applyFill="1" applyBorder="1" applyAlignment="1" applyProtection="1">
      <alignment horizontal="center" vertical="center" wrapText="1"/>
    </xf>
    <xf numFmtId="179" fontId="8" fillId="2" borderId="1" xfId="0" applyNumberFormat="1" applyFont="1" applyFill="1" applyBorder="1" applyAlignment="1">
      <alignment horizontal="center" vertical="center"/>
    </xf>
    <xf numFmtId="0" fontId="9" fillId="2" borderId="1" xfId="185" applyFont="1" applyFill="1" applyBorder="1" applyAlignment="1">
      <alignment horizontal="left" vertical="center" wrapText="1"/>
    </xf>
    <xf numFmtId="185" fontId="9" fillId="0" borderId="1" xfId="0" applyNumberFormat="1" applyFont="1" applyFill="1" applyBorder="1" applyAlignment="1">
      <alignment horizontal="center" vertical="center" wrapText="1"/>
    </xf>
    <xf numFmtId="0" fontId="9" fillId="2" borderId="1" xfId="185" applyFont="1" applyFill="1" applyBorder="1" applyAlignment="1">
      <alignment horizontal="center" vertical="center" wrapText="1"/>
    </xf>
    <xf numFmtId="187" fontId="9" fillId="2" borderId="1" xfId="0" applyNumberFormat="1" applyFont="1" applyFill="1" applyBorder="1" applyAlignment="1" applyProtection="1">
      <alignment horizontal="center" vertical="center" wrapText="1"/>
    </xf>
    <xf numFmtId="177"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179" fontId="9" fillId="2" borderId="1" xfId="0" applyNumberFormat="1" applyFont="1" applyFill="1" applyBorder="1" applyAlignment="1" applyProtection="1">
      <alignment horizontal="left" vertical="center" wrapText="1"/>
    </xf>
    <xf numFmtId="177" fontId="9" fillId="2" borderId="1" xfId="0" applyNumberFormat="1" applyFont="1" applyFill="1" applyBorder="1" applyAlignment="1">
      <alignment horizontal="left" vertical="center"/>
    </xf>
    <xf numFmtId="177" fontId="9" fillId="2" borderId="1" xfId="119" applyNumberFormat="1" applyFont="1" applyFill="1" applyBorder="1" applyAlignment="1">
      <alignment horizontal="left" vertical="center" wrapText="1"/>
    </xf>
    <xf numFmtId="177" fontId="9" fillId="2" borderId="1" xfId="0" applyNumberFormat="1" applyFont="1" applyFill="1" applyBorder="1" applyAlignment="1">
      <alignment vertical="center" wrapText="1" shrinkToFit="1"/>
    </xf>
    <xf numFmtId="179" fontId="9" fillId="2" borderId="1" xfId="0" applyNumberFormat="1" applyFont="1" applyFill="1" applyBorder="1" applyAlignment="1">
      <alignment horizontal="center" vertical="center"/>
    </xf>
    <xf numFmtId="57" fontId="9" fillId="2" borderId="1" xfId="0" applyNumberFormat="1" applyFont="1" applyFill="1" applyBorder="1" applyAlignment="1">
      <alignment horizontal="left" vertical="center" wrapText="1"/>
    </xf>
    <xf numFmtId="185" fontId="9" fillId="2" borderId="1" xfId="0" applyNumberFormat="1" applyFont="1" applyFill="1" applyBorder="1" applyAlignment="1">
      <alignment horizontal="center" vertical="center" wrapText="1"/>
    </xf>
    <xf numFmtId="49" fontId="9" fillId="2" borderId="1" xfId="52" applyNumberFormat="1" applyFont="1" applyFill="1" applyBorder="1" applyAlignment="1">
      <alignment horizontal="center" vertical="center" wrapText="1"/>
    </xf>
    <xf numFmtId="49" fontId="9" fillId="2" borderId="1" xfId="0" applyNumberFormat="1" applyFont="1" applyFill="1" applyBorder="1" applyAlignment="1">
      <alignment horizontal="left" vertical="center" wrapText="1"/>
    </xf>
    <xf numFmtId="179" fontId="8" fillId="2" borderId="1" xfId="0" applyNumberFormat="1" applyFont="1" applyFill="1" applyBorder="1" applyAlignment="1">
      <alignment horizontal="center" vertical="center" wrapText="1"/>
    </xf>
    <xf numFmtId="183" fontId="8" fillId="2" borderId="1" xfId="0" applyNumberFormat="1" applyFont="1" applyFill="1" applyBorder="1" applyAlignment="1" applyProtection="1">
      <alignment horizontal="center" vertical="center" wrapText="1"/>
    </xf>
    <xf numFmtId="179" fontId="8" fillId="2" borderId="1" xfId="0" applyNumberFormat="1" applyFont="1" applyFill="1" applyBorder="1" applyAlignment="1" applyProtection="1">
      <alignment horizontal="center" vertical="center" wrapText="1"/>
    </xf>
    <xf numFmtId="177" fontId="9" fillId="2" borderId="1" xfId="0" applyNumberFormat="1" applyFont="1" applyFill="1" applyBorder="1" applyAlignment="1" applyProtection="1">
      <alignment vertical="center" wrapText="1"/>
    </xf>
    <xf numFmtId="179" fontId="9" fillId="2" borderId="1" xfId="36" applyNumberFormat="1" applyFont="1" applyFill="1" applyBorder="1" applyAlignment="1" applyProtection="1">
      <alignment horizontal="center" vertical="center" wrapText="1"/>
    </xf>
    <xf numFmtId="177" fontId="9" fillId="2" borderId="1" xfId="0" applyNumberFormat="1" applyFont="1" applyFill="1" applyBorder="1" applyAlignment="1">
      <alignment vertical="center"/>
    </xf>
    <xf numFmtId="0" fontId="12" fillId="0" borderId="0" xfId="0" applyFont="1" applyFill="1" applyAlignment="1">
      <alignment horizontal="center" vertical="center" wrapText="1"/>
    </xf>
    <xf numFmtId="0" fontId="13" fillId="0" borderId="0" xfId="0" applyFont="1" applyFill="1" applyAlignment="1">
      <alignment vertical="center" wrapText="1"/>
    </xf>
    <xf numFmtId="0" fontId="4" fillId="0" borderId="0" xfId="0" applyNumberFormat="1" applyFont="1" applyFill="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49" fontId="1" fillId="0" borderId="0"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0" fillId="2" borderId="1" xfId="0" applyNumberFormat="1" applyFont="1" applyFill="1" applyBorder="1" applyAlignment="1" applyProtection="1">
      <alignment horizontal="center" vertical="center" wrapText="1"/>
    </xf>
    <xf numFmtId="0" fontId="9" fillId="2" borderId="1" xfId="0" applyFont="1" applyFill="1" applyBorder="1" applyAlignment="1">
      <alignment horizontal="center"/>
    </xf>
    <xf numFmtId="0" fontId="10" fillId="2" borderId="1" xfId="0" applyFont="1" applyFill="1" applyBorder="1" applyAlignment="1">
      <alignment horizontal="center"/>
    </xf>
    <xf numFmtId="179" fontId="10" fillId="2" borderId="1" xfId="0" applyNumberFormat="1"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9" fillId="0" borderId="1" xfId="110" applyFont="1" applyFill="1" applyBorder="1" applyAlignment="1">
      <alignment horizontal="center" vertical="center" wrapText="1"/>
    </xf>
    <xf numFmtId="0" fontId="10" fillId="2" borderId="1" xfId="0" applyNumberFormat="1" applyFont="1" applyFill="1" applyBorder="1" applyAlignment="1" applyProtection="1">
      <alignment horizontal="left" vertical="center" wrapText="1"/>
    </xf>
    <xf numFmtId="0" fontId="9" fillId="2" borderId="1" xfId="0" applyFont="1" applyFill="1" applyBorder="1" applyAlignment="1">
      <alignment vertical="center"/>
    </xf>
    <xf numFmtId="0" fontId="9"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horizontal="center"/>
    </xf>
    <xf numFmtId="179"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lignment horizontal="center" vertical="center" wrapText="1"/>
    </xf>
    <xf numFmtId="179" fontId="4" fillId="2" borderId="1" xfId="0" applyNumberFormat="1" applyFont="1" applyFill="1" applyBorder="1" applyAlignment="1">
      <alignment horizontal="center" vertical="center" wrapText="1"/>
    </xf>
    <xf numFmtId="0" fontId="10" fillId="3"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0" fillId="3" borderId="1" xfId="0" applyNumberFormat="1" applyFont="1" applyFill="1" applyBorder="1" applyAlignment="1">
      <alignment horizontal="left" vertical="center" wrapText="1"/>
    </xf>
    <xf numFmtId="0" fontId="4" fillId="2" borderId="1" xfId="0" applyFont="1" applyFill="1" applyBorder="1" applyAlignment="1">
      <alignment vertical="center"/>
    </xf>
    <xf numFmtId="0" fontId="9" fillId="3" borderId="1" xfId="0" applyNumberFormat="1" applyFont="1" applyFill="1" applyBorder="1" applyAlignment="1" applyProtection="1">
      <alignment horizontal="left" vertical="center" wrapText="1"/>
    </xf>
    <xf numFmtId="0" fontId="1" fillId="2" borderId="1" xfId="0" applyFont="1" applyFill="1" applyBorder="1" applyAlignment="1">
      <alignment horizontal="center"/>
    </xf>
    <xf numFmtId="0" fontId="9" fillId="2" borderId="1" xfId="264" applyFont="1" applyFill="1" applyBorder="1" applyAlignment="1">
      <alignment horizontal="center" vertical="center" wrapText="1"/>
    </xf>
    <xf numFmtId="0" fontId="9" fillId="2" borderId="1" xfId="0" applyNumberFormat="1" applyFont="1" applyFill="1" applyBorder="1" applyAlignment="1">
      <alignment vertical="center" wrapText="1"/>
    </xf>
    <xf numFmtId="177" fontId="9" fillId="0" borderId="1" xfId="52" applyNumberFormat="1" applyFont="1" applyFill="1" applyBorder="1" applyAlignment="1">
      <alignment horizontal="left" vertical="center" wrapText="1"/>
    </xf>
    <xf numFmtId="0" fontId="4"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 xfId="203" applyFont="1" applyFill="1" applyBorder="1" applyAlignment="1">
      <alignment horizontal="center" vertical="center" wrapText="1"/>
    </xf>
    <xf numFmtId="0" fontId="4" fillId="2" borderId="1" xfId="36" applyFont="1" applyFill="1" applyBorder="1" applyAlignment="1" applyProtection="1">
      <alignment horizontal="center" vertical="center" wrapText="1"/>
    </xf>
    <xf numFmtId="0" fontId="4" fillId="2" borderId="1" xfId="145" applyFont="1" applyFill="1" applyBorder="1" applyAlignment="1">
      <alignment horizontal="center" vertical="center" wrapText="1"/>
    </xf>
    <xf numFmtId="0" fontId="1" fillId="2" borderId="1" xfId="36" applyFont="1" applyFill="1" applyBorder="1" applyAlignment="1" applyProtection="1">
      <alignment horizontal="center" vertical="center" wrapText="1"/>
    </xf>
    <xf numFmtId="0" fontId="0" fillId="3" borderId="0" xfId="0" applyFont="1" applyFill="1" applyAlignment="1">
      <alignment horizontal="center" vertical="center" wrapText="1"/>
    </xf>
    <xf numFmtId="0" fontId="4" fillId="3" borderId="0" xfId="0" applyFont="1" applyFill="1" applyAlignment="1">
      <alignment horizontal="center" vertical="center" wrapText="1"/>
    </xf>
    <xf numFmtId="0" fontId="8" fillId="0" borderId="7" xfId="0" applyFont="1" applyFill="1" applyBorder="1" applyAlignment="1">
      <alignment horizontal="center" vertical="center" wrapText="1"/>
    </xf>
    <xf numFmtId="0" fontId="8" fillId="0" borderId="0" xfId="0" applyFont="1" applyFill="1" applyAlignment="1">
      <alignment horizontal="center" vertical="center" wrapText="1"/>
    </xf>
    <xf numFmtId="0" fontId="9" fillId="3" borderId="8" xfId="0" applyFont="1" applyFill="1" applyBorder="1" applyAlignment="1">
      <alignment horizontal="center" vertical="center" wrapText="1"/>
    </xf>
    <xf numFmtId="0" fontId="9" fillId="0" borderId="2" xfId="0" applyFont="1" applyFill="1" applyBorder="1" applyAlignment="1" applyProtection="1">
      <alignment horizontal="center" vertical="center" wrapText="1"/>
    </xf>
    <xf numFmtId="0" fontId="9" fillId="0" borderId="6" xfId="0" applyFont="1" applyFill="1" applyBorder="1" applyAlignment="1" applyProtection="1">
      <alignment horizontal="center" vertical="center" wrapText="1"/>
    </xf>
    <xf numFmtId="0" fontId="9" fillId="3" borderId="0" xfId="0" applyFont="1" applyFill="1" applyAlignment="1">
      <alignment horizontal="center" vertical="center" wrapText="1"/>
    </xf>
    <xf numFmtId="0" fontId="10" fillId="2" borderId="0" xfId="0" applyFont="1" applyFill="1" applyAlignment="1">
      <alignment horizontal="center" vertical="center" wrapText="1"/>
    </xf>
    <xf numFmtId="0" fontId="10" fillId="3" borderId="0" xfId="0" applyFont="1" applyFill="1" applyAlignment="1">
      <alignment horizontal="center" vertical="center" wrapText="1"/>
    </xf>
    <xf numFmtId="0" fontId="10" fillId="2" borderId="0" xfId="0" applyFont="1" applyFill="1"/>
    <xf numFmtId="0" fontId="10" fillId="2" borderId="0" xfId="0" applyFont="1" applyFill="1" applyAlignment="1">
      <alignment wrapText="1"/>
    </xf>
    <xf numFmtId="0" fontId="10" fillId="2" borderId="0" xfId="0" applyFont="1" applyFill="1" applyAlignment="1">
      <alignment horizontal="center" wrapText="1"/>
    </xf>
    <xf numFmtId="0" fontId="9" fillId="2" borderId="0" xfId="0" applyFont="1" applyFill="1" applyAlignment="1">
      <alignment wrapText="1"/>
    </xf>
    <xf numFmtId="0" fontId="9" fillId="2" borderId="0" xfId="0" applyFont="1" applyFill="1" applyAlignment="1">
      <alignment horizontal="center" vertical="center"/>
    </xf>
    <xf numFmtId="0" fontId="9" fillId="2" borderId="0" xfId="0" applyFont="1" applyFill="1"/>
    <xf numFmtId="0" fontId="9" fillId="2" borderId="0" xfId="0" applyFont="1" applyFill="1" applyAlignment="1">
      <alignment horizontal="center" wrapText="1"/>
    </xf>
    <xf numFmtId="0" fontId="4" fillId="2" borderId="0" xfId="0" applyFont="1" applyFill="1" applyAlignment="1">
      <alignment horizontal="center" vertical="center" wrapText="1"/>
    </xf>
    <xf numFmtId="0" fontId="4" fillId="2" borderId="1" xfId="0" applyFont="1" applyFill="1" applyBorder="1" applyAlignment="1" applyProtection="1">
      <alignment horizontal="center" vertical="center" wrapText="1"/>
    </xf>
    <xf numFmtId="0" fontId="4" fillId="2" borderId="0" xfId="0" applyFont="1" applyFill="1" applyAlignment="1">
      <alignment horizontal="center" vertical="center"/>
    </xf>
    <xf numFmtId="0" fontId="4" fillId="2" borderId="0" xfId="0" applyFont="1" applyFill="1" applyAlignment="1">
      <alignment wrapText="1"/>
    </xf>
    <xf numFmtId="0" fontId="4" fillId="2" borderId="0" xfId="0" applyFont="1" applyFill="1" applyAlignment="1">
      <alignment horizontal="center" wrapText="1"/>
    </xf>
    <xf numFmtId="0" fontId="4" fillId="2" borderId="0" xfId="0" applyFont="1" applyFill="1" applyAlignment="1">
      <alignment vertical="center" wrapText="1"/>
    </xf>
    <xf numFmtId="0" fontId="0" fillId="0" borderId="0" xfId="0" applyFont="1" applyFill="1" applyAlignment="1">
      <alignment vertical="center" wrapText="1"/>
    </xf>
    <xf numFmtId="0" fontId="4" fillId="0" borderId="0" xfId="0" applyFont="1" applyFill="1" applyAlignment="1">
      <alignment vertical="center" wrapText="1"/>
    </xf>
    <xf numFmtId="183" fontId="4" fillId="0" borderId="0" xfId="0" applyNumberFormat="1" applyFont="1" applyFill="1" applyAlignment="1">
      <alignment vertical="center" wrapText="1"/>
    </xf>
    <xf numFmtId="0" fontId="14" fillId="0" borderId="0" xfId="0" applyFont="1" applyFill="1" applyAlignment="1">
      <alignment vertical="center" wrapText="1"/>
    </xf>
    <xf numFmtId="0" fontId="1" fillId="0" borderId="0" xfId="0" applyFont="1" applyFill="1" applyAlignment="1">
      <alignment vertical="center" wrapText="1"/>
    </xf>
    <xf numFmtId="183" fontId="1" fillId="0" borderId="0" xfId="0" applyNumberFormat="1" applyFont="1" applyFill="1" applyAlignment="1">
      <alignment vertical="center" wrapText="1"/>
    </xf>
    <xf numFmtId="0" fontId="15" fillId="0" borderId="0" xfId="0" applyFont="1" applyFill="1" applyAlignment="1">
      <alignment vertical="center" wrapText="1"/>
    </xf>
    <xf numFmtId="0" fontId="8" fillId="0" borderId="0" xfId="0" applyFont="1" applyFill="1" applyAlignment="1">
      <alignment horizontal="center" vertical="center"/>
    </xf>
    <xf numFmtId="183" fontId="1" fillId="0" borderId="0" xfId="0" applyNumberFormat="1" applyFont="1" applyFill="1" applyAlignment="1">
      <alignment horizontal="center" vertical="center" wrapText="1"/>
    </xf>
    <xf numFmtId="0" fontId="15" fillId="0" borderId="0" xfId="0" applyFont="1" applyFill="1" applyAlignment="1">
      <alignment horizontal="center" vertical="center" wrapText="1"/>
    </xf>
    <xf numFmtId="0" fontId="9" fillId="2" borderId="0" xfId="0" applyFont="1" applyFill="1" applyAlignment="1">
      <alignment vertical="center" wrapText="1"/>
    </xf>
    <xf numFmtId="0" fontId="10" fillId="2" borderId="0" xfId="0" applyFont="1" applyFill="1" applyAlignment="1">
      <alignment vertical="center" wrapText="1"/>
    </xf>
    <xf numFmtId="0" fontId="16" fillId="2" borderId="0" xfId="0" applyFont="1" applyFill="1"/>
    <xf numFmtId="0" fontId="17" fillId="2" borderId="1" xfId="36" applyFont="1" applyFill="1" applyBorder="1" applyAlignment="1" applyProtection="1">
      <alignment horizontal="center" vertical="center" wrapText="1"/>
    </xf>
    <xf numFmtId="0" fontId="17" fillId="2" borderId="0" xfId="0" applyFont="1" applyFill="1" applyAlignment="1">
      <alignment vertical="center" wrapText="1"/>
    </xf>
    <xf numFmtId="0" fontId="17" fillId="2" borderId="0" xfId="0" applyFont="1" applyFill="1"/>
    <xf numFmtId="183" fontId="17" fillId="2" borderId="0" xfId="0" applyNumberFormat="1" applyFont="1" applyFill="1" applyAlignment="1">
      <alignment vertical="center" wrapText="1"/>
    </xf>
    <xf numFmtId="14" fontId="4" fillId="2" borderId="0" xfId="0" applyNumberFormat="1" applyFont="1" applyFill="1" applyAlignment="1">
      <alignment vertical="center" wrapText="1"/>
    </xf>
    <xf numFmtId="183" fontId="4" fillId="2" borderId="0" xfId="0" applyNumberFormat="1" applyFont="1" applyFill="1" applyAlignment="1">
      <alignment vertical="center" wrapText="1"/>
    </xf>
    <xf numFmtId="0" fontId="9" fillId="2" borderId="0" xfId="0" applyNumberFormat="1" applyFont="1" applyFill="1" applyBorder="1" applyAlignment="1">
      <alignment horizontal="center" vertical="center" wrapText="1"/>
    </xf>
    <xf numFmtId="183" fontId="4" fillId="2" borderId="0" xfId="0" applyNumberFormat="1" applyFont="1" applyFill="1" applyAlignment="1">
      <alignment wrapText="1"/>
    </xf>
    <xf numFmtId="183" fontId="3" fillId="2" borderId="0" xfId="0" applyNumberFormat="1" applyFont="1" applyFill="1" applyBorder="1" applyAlignment="1">
      <alignment horizontal="center" vertical="center" wrapText="1"/>
    </xf>
    <xf numFmtId="0" fontId="14" fillId="2" borderId="0" xfId="0" applyNumberFormat="1" applyFont="1" applyFill="1" applyBorder="1" applyAlignment="1">
      <alignment horizontal="center" vertical="center" wrapText="1"/>
    </xf>
    <xf numFmtId="0" fontId="4" fillId="2" borderId="1" xfId="146" applyFont="1" applyFill="1" applyBorder="1" applyAlignment="1">
      <alignment horizontal="center" vertical="center" wrapText="1"/>
    </xf>
    <xf numFmtId="181" fontId="9" fillId="2" borderId="1" xfId="174" applyNumberFormat="1" applyFont="1" applyFill="1" applyBorder="1" applyAlignment="1">
      <alignment vertical="center" wrapText="1"/>
    </xf>
    <xf numFmtId="181" fontId="9" fillId="2" borderId="1" xfId="0" applyNumberFormat="1" applyFont="1" applyFill="1" applyBorder="1" applyAlignment="1">
      <alignment vertical="center" wrapText="1"/>
    </xf>
    <xf numFmtId="0" fontId="9" fillId="2" borderId="1" xfId="119" applyFont="1" applyFill="1" applyBorder="1" applyAlignment="1">
      <alignment vertical="center" wrapText="1"/>
    </xf>
    <xf numFmtId="177" fontId="9" fillId="2" borderId="1" xfId="119" applyNumberFormat="1" applyFont="1" applyFill="1" applyBorder="1" applyAlignment="1">
      <alignment horizontal="center" vertical="center" wrapText="1"/>
    </xf>
    <xf numFmtId="0" fontId="9" fillId="2" borderId="1" xfId="45" applyFont="1" applyFill="1" applyBorder="1" applyAlignment="1" applyProtection="1">
      <alignment horizontal="left" vertical="center" wrapText="1"/>
    </xf>
    <xf numFmtId="0" fontId="9" fillId="2" borderId="1" xfId="45" applyFont="1" applyFill="1" applyBorder="1" applyAlignment="1" applyProtection="1">
      <alignment horizontal="center" vertical="center" wrapText="1"/>
    </xf>
    <xf numFmtId="0" fontId="9" fillId="2" borderId="1" xfId="45" applyNumberFormat="1" applyFont="1" applyFill="1" applyBorder="1" applyAlignment="1" applyProtection="1">
      <alignment horizontal="center" vertical="center" wrapText="1"/>
    </xf>
    <xf numFmtId="0" fontId="11" fillId="2" borderId="1" xfId="0" applyFont="1" applyFill="1" applyBorder="1" applyAlignment="1">
      <alignment vertical="center" wrapText="1"/>
    </xf>
    <xf numFmtId="0" fontId="11" fillId="2" borderId="1" xfId="0" applyFont="1" applyFill="1" applyBorder="1" applyAlignment="1">
      <alignment horizontal="center" vertical="center" wrapText="1"/>
    </xf>
    <xf numFmtId="177" fontId="11" fillId="2" borderId="1" xfId="0" applyNumberFormat="1" applyFont="1" applyFill="1" applyBorder="1" applyAlignment="1">
      <alignment horizontal="center" vertical="center" wrapText="1"/>
    </xf>
    <xf numFmtId="49" fontId="11" fillId="2" borderId="1" xfId="0" applyNumberFormat="1" applyFont="1" applyFill="1" applyBorder="1" applyAlignment="1">
      <alignment horizontal="center" vertical="center"/>
    </xf>
    <xf numFmtId="177" fontId="11" fillId="2" borderId="1" xfId="0" applyNumberFormat="1" applyFont="1" applyFill="1" applyBorder="1" applyAlignment="1">
      <alignment horizontal="left" vertical="center" wrapText="1"/>
    </xf>
    <xf numFmtId="179" fontId="9" fillId="2" borderId="1" xfId="273" applyNumberFormat="1" applyFont="1" applyFill="1" applyBorder="1" applyAlignment="1">
      <alignment vertical="center" wrapText="1"/>
    </xf>
    <xf numFmtId="179" fontId="9" fillId="2" borderId="1" xfId="36" applyNumberFormat="1" applyFont="1" applyFill="1" applyBorder="1" applyAlignment="1" applyProtection="1">
      <alignment horizontal="left" vertical="center" wrapText="1"/>
    </xf>
    <xf numFmtId="0" fontId="14" fillId="2" borderId="1" xfId="0" applyFont="1" applyFill="1" applyBorder="1" applyAlignment="1">
      <alignment horizontal="center" vertical="center"/>
    </xf>
    <xf numFmtId="0" fontId="9" fillId="2" borderId="1" xfId="107" applyFont="1" applyFill="1" applyBorder="1" applyAlignment="1">
      <alignment vertical="center" wrapText="1"/>
    </xf>
    <xf numFmtId="0" fontId="9" fillId="2" borderId="1" xfId="265" applyNumberFormat="1" applyFont="1" applyFill="1" applyBorder="1" applyAlignment="1" applyProtection="1">
      <alignment horizontal="center" vertical="center" wrapText="1"/>
    </xf>
    <xf numFmtId="0" fontId="9" fillId="2" borderId="1" xfId="265" applyFont="1" applyFill="1" applyBorder="1" applyAlignment="1" applyProtection="1">
      <alignment vertical="center" wrapText="1"/>
    </xf>
    <xf numFmtId="185" fontId="9" fillId="2" borderId="1" xfId="0" applyNumberFormat="1" applyFont="1" applyFill="1" applyBorder="1" applyAlignment="1">
      <alignment horizontal="left" vertical="center" wrapText="1"/>
    </xf>
    <xf numFmtId="179" fontId="8" fillId="0" borderId="1" xfId="52" applyNumberFormat="1" applyFont="1" applyFill="1" applyBorder="1" applyAlignment="1">
      <alignment horizontal="center" vertical="center" wrapText="1"/>
    </xf>
    <xf numFmtId="179" fontId="8" fillId="2" borderId="1" xfId="36" applyNumberFormat="1" applyFont="1" applyFill="1" applyBorder="1" applyAlignment="1" applyProtection="1">
      <alignment horizontal="center" vertical="center" wrapText="1"/>
    </xf>
    <xf numFmtId="179" fontId="8" fillId="2" borderId="1" xfId="11" applyNumberFormat="1" applyFont="1" applyFill="1" applyBorder="1" applyAlignment="1">
      <alignment horizontal="center" vertical="center" wrapText="1"/>
    </xf>
    <xf numFmtId="179" fontId="8" fillId="2" borderId="1" xfId="119" applyNumberFormat="1" applyFont="1" applyFill="1" applyBorder="1" applyAlignment="1">
      <alignment horizontal="center" vertical="center" wrapText="1"/>
    </xf>
    <xf numFmtId="179" fontId="9" fillId="3" borderId="1" xfId="0" applyNumberFormat="1" applyFont="1" applyFill="1" applyBorder="1" applyAlignment="1" applyProtection="1">
      <alignment horizontal="left" vertical="center" wrapText="1"/>
    </xf>
    <xf numFmtId="179" fontId="8" fillId="0" borderId="1" xfId="0" applyNumberFormat="1" applyFont="1" applyBorder="1" applyAlignment="1">
      <alignment horizontal="center" vertical="center"/>
    </xf>
    <xf numFmtId="183" fontId="9" fillId="2" borderId="1" xfId="281" applyNumberFormat="1" applyFont="1" applyFill="1" applyBorder="1" applyAlignment="1" applyProtection="1">
      <alignment horizontal="center" vertical="center" wrapText="1"/>
    </xf>
    <xf numFmtId="179" fontId="9" fillId="2" borderId="1" xfId="281" applyNumberFormat="1" applyFont="1" applyFill="1" applyBorder="1" applyAlignment="1" applyProtection="1">
      <alignment horizontal="center" vertical="center" wrapText="1"/>
    </xf>
    <xf numFmtId="179" fontId="11" fillId="3" borderId="1" xfId="0" applyNumberFormat="1" applyFont="1" applyFill="1" applyBorder="1" applyAlignment="1" applyProtection="1">
      <alignment horizontal="left" vertical="center" wrapText="1"/>
    </xf>
    <xf numFmtId="177" fontId="9" fillId="2" borderId="1" xfId="119" applyNumberFormat="1" applyFont="1" applyFill="1" applyBorder="1" applyAlignment="1">
      <alignment vertical="center" wrapText="1"/>
    </xf>
    <xf numFmtId="0" fontId="9" fillId="2" borderId="1" xfId="119" applyNumberFormat="1" applyFont="1" applyFill="1" applyBorder="1" applyAlignment="1">
      <alignment vertical="center" wrapText="1"/>
    </xf>
    <xf numFmtId="179" fontId="8" fillId="2" borderId="1" xfId="11" applyNumberFormat="1" applyFont="1" applyFill="1" applyBorder="1" applyAlignment="1" applyProtection="1">
      <alignment horizontal="center" vertical="center" wrapText="1"/>
    </xf>
    <xf numFmtId="0" fontId="9" fillId="2" borderId="1" xfId="197" applyFont="1" applyFill="1" applyBorder="1" applyAlignment="1">
      <alignment vertical="center" wrapText="1"/>
    </xf>
    <xf numFmtId="179" fontId="9" fillId="3" borderId="1" xfId="36" applyNumberFormat="1" applyFont="1" applyFill="1" applyBorder="1" applyAlignment="1" applyProtection="1">
      <alignment horizontal="left" vertical="center" wrapText="1"/>
    </xf>
    <xf numFmtId="0" fontId="14" fillId="3" borderId="1" xfId="0" applyFont="1" applyFill="1" applyBorder="1" applyAlignment="1">
      <alignment horizontal="center" vertical="center"/>
    </xf>
    <xf numFmtId="179" fontId="8" fillId="2" borderId="1" xfId="281" applyNumberFormat="1" applyFont="1" applyFill="1" applyBorder="1" applyAlignment="1" applyProtection="1">
      <alignment horizontal="center" vertical="center" wrapText="1"/>
    </xf>
    <xf numFmtId="49" fontId="9" fillId="3" borderId="1" xfId="0" applyNumberFormat="1" applyFont="1" applyFill="1" applyBorder="1" applyAlignment="1">
      <alignment horizontal="center" vertical="center" wrapText="1"/>
    </xf>
    <xf numFmtId="177" fontId="9" fillId="3" borderId="1" xfId="0" applyNumberFormat="1" applyFont="1" applyFill="1" applyBorder="1" applyAlignment="1">
      <alignment horizontal="left" vertical="center" wrapText="1"/>
    </xf>
    <xf numFmtId="0" fontId="9" fillId="2" borderId="1" xfId="36"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2" borderId="1" xfId="0" applyNumberFormat="1" applyFont="1" applyFill="1" applyBorder="1" applyAlignment="1">
      <alignment horizontal="left" vertical="center" wrapText="1"/>
    </xf>
    <xf numFmtId="0" fontId="18" fillId="2" borderId="1" xfId="0" applyFont="1" applyFill="1" applyBorder="1" applyAlignment="1">
      <alignment vertical="center" wrapText="1"/>
    </xf>
    <xf numFmtId="0" fontId="4" fillId="2" borderId="1" xfId="0" applyFont="1" applyFill="1" applyBorder="1" applyAlignment="1">
      <alignment horizontal="center" vertical="center"/>
    </xf>
    <xf numFmtId="0" fontId="4" fillId="2" borderId="1" xfId="265" applyFont="1" applyFill="1" applyBorder="1" applyAlignment="1" applyProtection="1">
      <alignment horizontal="center" vertical="center" wrapText="1"/>
    </xf>
    <xf numFmtId="177" fontId="4" fillId="2" borderId="0" xfId="0" applyNumberFormat="1" applyFont="1" applyFill="1"/>
    <xf numFmtId="0" fontId="15" fillId="0" borderId="0" xfId="0" applyFont="1" applyAlignment="1">
      <alignment vertical="center" wrapText="1"/>
    </xf>
    <xf numFmtId="0" fontId="1" fillId="0" borderId="0" xfId="0" applyFont="1" applyAlignment="1">
      <alignment vertical="center" wrapText="1"/>
    </xf>
    <xf numFmtId="0" fontId="4"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Font="1" applyAlignment="1">
      <alignment vertical="center" wrapText="1"/>
    </xf>
    <xf numFmtId="0" fontId="0" fillId="0" borderId="0" xfId="0" applyFill="1" applyAlignment="1">
      <alignment vertical="center" wrapText="1"/>
    </xf>
    <xf numFmtId="0" fontId="7" fillId="0" borderId="0" xfId="0" applyFont="1" applyAlignment="1">
      <alignment horizontal="center" vertical="center" wrapText="1"/>
    </xf>
    <xf numFmtId="0" fontId="4" fillId="0" borderId="0" xfId="0" applyFont="1" applyAlignment="1">
      <alignment horizontal="center" vertical="center" wrapText="1"/>
    </xf>
    <xf numFmtId="0" fontId="15" fillId="5" borderId="2" xfId="0" applyFont="1" applyFill="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5" borderId="9" xfId="0" applyFont="1" applyFill="1" applyBorder="1" applyAlignment="1">
      <alignment horizontal="center" vertical="center" wrapText="1"/>
    </xf>
    <xf numFmtId="0" fontId="15" fillId="0" borderId="5" xfId="0" applyFont="1" applyBorder="1" applyAlignment="1">
      <alignment horizontal="center" vertical="center" wrapText="1"/>
    </xf>
    <xf numFmtId="0" fontId="15" fillId="5" borderId="6" xfId="0" applyFont="1" applyFill="1" applyBorder="1" applyAlignment="1">
      <alignment horizontal="center" vertical="center" wrapText="1"/>
    </xf>
    <xf numFmtId="0" fontId="15" fillId="0" borderId="1" xfId="0" applyFont="1" applyBorder="1" applyAlignment="1">
      <alignment horizontal="center" vertical="center" wrapText="1"/>
    </xf>
    <xf numFmtId="0" fontId="15" fillId="2"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189" fontId="15"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5" fillId="2" borderId="1" xfId="0" applyFont="1" applyFill="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189" fontId="14" fillId="0" borderId="1" xfId="0" applyNumberFormat="1" applyFont="1" applyBorder="1" applyAlignment="1">
      <alignment horizontal="center" vertical="center" wrapText="1"/>
    </xf>
    <xf numFmtId="179" fontId="14" fillId="0" borderId="1" xfId="0" applyNumberFormat="1" applyFont="1" applyBorder="1" applyAlignment="1">
      <alignment horizontal="center" vertical="center" wrapText="1"/>
    </xf>
    <xf numFmtId="0" fontId="15" fillId="0" borderId="1" xfId="0" applyFont="1" applyBorder="1" applyAlignment="1">
      <alignment vertical="center" wrapText="1"/>
    </xf>
    <xf numFmtId="0" fontId="14" fillId="0" borderId="1" xfId="0" applyFont="1" applyBorder="1" applyAlignment="1">
      <alignment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6" xfId="0" applyFont="1" applyFill="1" applyBorder="1" applyAlignment="1">
      <alignment horizontal="center" vertical="center" wrapText="1"/>
    </xf>
    <xf numFmtId="179" fontId="0" fillId="0" borderId="0" xfId="0" applyNumberFormat="1" applyFont="1" applyAlignment="1">
      <alignment vertical="center" wrapText="1"/>
    </xf>
    <xf numFmtId="0" fontId="15" fillId="4" borderId="5" xfId="0" applyFont="1" applyFill="1" applyBorder="1" applyAlignment="1">
      <alignment horizontal="center" vertical="center" wrapText="1"/>
    </xf>
    <xf numFmtId="0" fontId="15" fillId="4" borderId="1" xfId="0" applyFont="1" applyFill="1" applyBorder="1" applyAlignment="1">
      <alignment horizontal="center" vertical="center" wrapText="1"/>
    </xf>
    <xf numFmtId="177" fontId="15" fillId="0" borderId="1" xfId="0" applyNumberFormat="1" applyFont="1" applyBorder="1" applyAlignment="1">
      <alignment horizontal="center" vertical="center" wrapText="1"/>
    </xf>
    <xf numFmtId="177" fontId="14" fillId="0" borderId="1" xfId="0" applyNumberFormat="1" applyFont="1" applyBorder="1" applyAlignment="1">
      <alignment horizontal="center" vertical="center" wrapText="1"/>
    </xf>
    <xf numFmtId="0" fontId="0" fillId="0" borderId="10" xfId="0" applyBorder="1" applyAlignment="1">
      <alignment horizontal="right" vertical="center" wrapText="1"/>
    </xf>
    <xf numFmtId="189" fontId="15" fillId="0" borderId="1" xfId="0" applyNumberFormat="1" applyFont="1" applyBorder="1" applyAlignment="1">
      <alignment horizontal="right" vertical="center" wrapText="1"/>
    </xf>
    <xf numFmtId="189" fontId="14" fillId="0" borderId="1" xfId="0" applyNumberFormat="1" applyFont="1" applyBorder="1" applyAlignment="1">
      <alignment horizontal="right" vertical="center" wrapText="1"/>
    </xf>
    <xf numFmtId="0" fontId="15" fillId="0" borderId="1" xfId="0" applyFont="1" applyFill="1" applyBorder="1" applyAlignment="1">
      <alignment horizontal="center" vertical="center" wrapText="1"/>
    </xf>
    <xf numFmtId="189" fontId="15" fillId="0" borderId="1" xfId="0" applyNumberFormat="1" applyFont="1" applyFill="1" applyBorder="1" applyAlignment="1">
      <alignment horizontal="right" vertical="center" wrapText="1"/>
    </xf>
    <xf numFmtId="189" fontId="14" fillId="0" borderId="1" xfId="0" applyNumberFormat="1" applyFont="1" applyFill="1" applyBorder="1" applyAlignment="1">
      <alignment horizontal="right" vertical="center" wrapText="1"/>
    </xf>
    <xf numFmtId="0" fontId="15" fillId="0" borderId="0" xfId="0" applyFont="1" applyAlignment="1">
      <alignment horizontal="center" vertical="center" wrapText="1"/>
    </xf>
    <xf numFmtId="0" fontId="0" fillId="0" borderId="0" xfId="0" applyAlignment="1">
      <alignment horizontal="left" vertical="center" wrapText="1"/>
    </xf>
    <xf numFmtId="191" fontId="0" fillId="0" borderId="0" xfId="0" applyNumberFormat="1" applyAlignment="1">
      <alignment vertical="center" wrapText="1"/>
    </xf>
    <xf numFmtId="0" fontId="15" fillId="5" borderId="1"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vertical="center" wrapText="1"/>
    </xf>
    <xf numFmtId="177" fontId="0" fillId="0" borderId="0" xfId="0" applyNumberFormat="1" applyAlignment="1">
      <alignment vertical="center" wrapText="1"/>
    </xf>
    <xf numFmtId="177" fontId="15" fillId="0" borderId="1" xfId="0" applyNumberFormat="1" applyFont="1" applyBorder="1" applyAlignment="1">
      <alignment vertical="center" wrapText="1"/>
    </xf>
    <xf numFmtId="177" fontId="0" fillId="0" borderId="1" xfId="0" applyNumberFormat="1" applyBorder="1" applyAlignment="1">
      <alignment vertical="center" wrapText="1"/>
    </xf>
    <xf numFmtId="177" fontId="14" fillId="0" borderId="1" xfId="0" applyNumberFormat="1" applyFont="1" applyBorder="1" applyAlignment="1">
      <alignment vertical="center" wrapText="1"/>
    </xf>
    <xf numFmtId="191" fontId="8" fillId="2" borderId="1" xfId="0" applyNumberFormat="1" applyFont="1" applyFill="1" applyBorder="1" applyAlignment="1">
      <alignment horizontal="center" vertical="center" wrapText="1"/>
    </xf>
    <xf numFmtId="191" fontId="8" fillId="2" borderId="6"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19" fillId="2" borderId="6" xfId="0" applyFont="1" applyFill="1" applyBorder="1" applyAlignment="1">
      <alignment horizontal="center" vertical="center" wrapText="1"/>
    </xf>
    <xf numFmtId="191" fontId="15" fillId="0" borderId="0" xfId="0" applyNumberFormat="1" applyFont="1" applyAlignment="1">
      <alignment horizontal="center" vertical="center" wrapText="1"/>
    </xf>
    <xf numFmtId="0" fontId="0" fillId="0" borderId="0" xfId="171" applyFont="1" applyFill="1" applyBorder="1" applyAlignment="1"/>
    <xf numFmtId="0" fontId="2" fillId="0" borderId="0" xfId="171" applyFont="1" applyFill="1" applyAlignment="1"/>
    <xf numFmtId="0" fontId="0" fillId="0" borderId="0" xfId="171" applyFont="1" applyFill="1" applyAlignment="1"/>
    <xf numFmtId="0" fontId="0" fillId="0" borderId="0" xfId="171" applyFont="1" applyFill="1" applyAlignment="1">
      <alignment wrapText="1"/>
    </xf>
    <xf numFmtId="0" fontId="0" fillId="0" borderId="0" xfId="171" applyFont="1" applyFill="1" applyAlignment="1">
      <alignment horizontal="center"/>
    </xf>
    <xf numFmtId="179" fontId="0" fillId="0" borderId="0" xfId="171" applyNumberFormat="1" applyFont="1" applyFill="1" applyAlignment="1"/>
    <xf numFmtId="189" fontId="0" fillId="5" borderId="0" xfId="171" applyNumberFormat="1" applyFont="1" applyFill="1" applyAlignment="1"/>
    <xf numFmtId="190" fontId="0" fillId="5" borderId="0" xfId="171" applyNumberFormat="1" applyFont="1" applyFill="1" applyAlignment="1"/>
    <xf numFmtId="189" fontId="0" fillId="0" borderId="0" xfId="171" applyNumberFormat="1" applyFont="1" applyFill="1" applyAlignment="1"/>
    <xf numFmtId="190" fontId="0" fillId="0" borderId="0" xfId="171" applyNumberFormat="1" applyFont="1" applyFill="1" applyAlignment="1"/>
    <xf numFmtId="0" fontId="20" fillId="0" borderId="0" xfId="130" applyFont="1" applyFill="1" applyAlignment="1">
      <alignment horizontal="left"/>
    </xf>
    <xf numFmtId="0" fontId="21" fillId="0" borderId="0" xfId="130" applyFont="1" applyFill="1" applyAlignment="1">
      <alignment wrapText="1"/>
    </xf>
    <xf numFmtId="0" fontId="21" fillId="0" borderId="0" xfId="130" applyFont="1" applyFill="1" applyAlignment="1">
      <alignment horizontal="center"/>
    </xf>
    <xf numFmtId="179" fontId="21" fillId="0" borderId="0" xfId="130" applyNumberFormat="1" applyFont="1" applyFill="1" applyAlignment="1">
      <alignment horizontal="right"/>
    </xf>
    <xf numFmtId="189" fontId="21" fillId="5" borderId="0" xfId="130" applyNumberFormat="1" applyFont="1" applyFill="1" applyAlignment="1">
      <alignment horizontal="right"/>
    </xf>
    <xf numFmtId="190" fontId="21" fillId="5" borderId="0" xfId="130" applyNumberFormat="1" applyFont="1" applyFill="1" applyAlignment="1">
      <alignment horizontal="right"/>
    </xf>
    <xf numFmtId="0" fontId="22" fillId="0" borderId="0" xfId="130" applyFont="1" applyFill="1" applyAlignment="1">
      <alignment horizontal="center" vertical="center" wrapText="1"/>
    </xf>
    <xf numFmtId="0" fontId="23" fillId="0" borderId="0" xfId="130" applyFont="1" applyFill="1" applyBorder="1" applyAlignment="1">
      <alignment vertical="center" wrapText="1"/>
    </xf>
    <xf numFmtId="179" fontId="21" fillId="0" borderId="0" xfId="130" applyNumberFormat="1" applyFont="1" applyFill="1" applyBorder="1" applyAlignment="1">
      <alignment horizontal="right" vertical="center" wrapText="1"/>
    </xf>
    <xf numFmtId="0" fontId="14" fillId="0" borderId="0" xfId="130" applyFont="1" applyFill="1" applyBorder="1" applyAlignment="1">
      <alignment horizontal="right" vertical="center"/>
    </xf>
    <xf numFmtId="189" fontId="14" fillId="5" borderId="0" xfId="130" applyNumberFormat="1" applyFont="1" applyFill="1" applyBorder="1" applyAlignment="1">
      <alignment horizontal="right" vertical="center"/>
    </xf>
    <xf numFmtId="190" fontId="14" fillId="5" borderId="0" xfId="130" applyNumberFormat="1" applyFont="1" applyFill="1" applyBorder="1" applyAlignment="1">
      <alignment horizontal="right" vertical="center"/>
    </xf>
    <xf numFmtId="179" fontId="23" fillId="0" borderId="1" xfId="130" applyNumberFormat="1" applyFont="1" applyFill="1" applyBorder="1" applyAlignment="1">
      <alignment horizontal="center" vertical="center" wrapText="1"/>
    </xf>
    <xf numFmtId="189" fontId="23" fillId="5" borderId="2" xfId="130" applyNumberFormat="1" applyFont="1" applyFill="1" applyBorder="1" applyAlignment="1">
      <alignment horizontal="center" vertical="center" wrapText="1"/>
    </xf>
    <xf numFmtId="190" fontId="23" fillId="5" borderId="2" xfId="130" applyNumberFormat="1" applyFont="1" applyFill="1" applyBorder="1" applyAlignment="1">
      <alignment horizontal="center" vertical="center" wrapText="1"/>
    </xf>
    <xf numFmtId="189" fontId="23" fillId="5" borderId="6" xfId="130" applyNumberFormat="1" applyFont="1" applyFill="1" applyBorder="1" applyAlignment="1">
      <alignment horizontal="center" vertical="center" wrapText="1"/>
    </xf>
    <xf numFmtId="190" fontId="23" fillId="5" borderId="6" xfId="130" applyNumberFormat="1" applyFont="1" applyFill="1" applyBorder="1" applyAlignment="1">
      <alignment horizontal="center" vertical="center" wrapText="1"/>
    </xf>
    <xf numFmtId="0" fontId="23" fillId="0" borderId="1" xfId="130" applyFont="1" applyFill="1" applyBorder="1" applyAlignment="1">
      <alignment horizontal="center" vertical="center"/>
    </xf>
    <xf numFmtId="0" fontId="23" fillId="0" borderId="1" xfId="130" applyFont="1" applyFill="1" applyBorder="1" applyAlignment="1">
      <alignment horizontal="center" vertical="center" wrapText="1"/>
    </xf>
    <xf numFmtId="179" fontId="23" fillId="0" borderId="1" xfId="130" applyNumberFormat="1" applyFont="1" applyFill="1" applyBorder="1" applyAlignment="1">
      <alignment horizontal="center" vertical="center"/>
    </xf>
    <xf numFmtId="179" fontId="15" fillId="0" borderId="1" xfId="130" applyNumberFormat="1" applyFont="1" applyFill="1" applyBorder="1" applyAlignment="1">
      <alignment horizontal="center" vertical="center" wrapText="1"/>
    </xf>
    <xf numFmtId="179" fontId="24" fillId="0" borderId="1" xfId="130" applyNumberFormat="1" applyFont="1" applyFill="1" applyBorder="1" applyAlignment="1">
      <alignment horizontal="center" vertical="center" wrapText="1"/>
    </xf>
    <xf numFmtId="189" fontId="24" fillId="5" borderId="1" xfId="130" applyNumberFormat="1" applyFont="1" applyFill="1" applyBorder="1" applyAlignment="1">
      <alignment horizontal="center" vertical="center" wrapText="1"/>
    </xf>
    <xf numFmtId="190" fontId="24" fillId="5" borderId="1" xfId="130" applyNumberFormat="1" applyFont="1" applyFill="1" applyBorder="1" applyAlignment="1">
      <alignment horizontal="center" vertical="center" wrapText="1"/>
    </xf>
    <xf numFmtId="0" fontId="15" fillId="0" borderId="1" xfId="130" applyFont="1" applyFill="1" applyBorder="1" applyAlignment="1">
      <alignment horizontal="center" vertical="center" wrapText="1"/>
    </xf>
    <xf numFmtId="179" fontId="24" fillId="0" borderId="1" xfId="130" applyNumberFormat="1" applyFont="1" applyFill="1" applyBorder="1" applyAlignment="1">
      <alignment horizontal="center" vertical="center"/>
    </xf>
    <xf numFmtId="179" fontId="24" fillId="2" borderId="1" xfId="130" applyNumberFormat="1" applyFont="1" applyFill="1" applyBorder="1" applyAlignment="1">
      <alignment horizontal="center" vertical="center"/>
    </xf>
    <xf numFmtId="179" fontId="24" fillId="5" borderId="1" xfId="130" applyNumberFormat="1" applyFont="1" applyFill="1" applyBorder="1" applyAlignment="1">
      <alignment horizontal="center" vertical="center"/>
    </xf>
    <xf numFmtId="190" fontId="25" fillId="5" borderId="1" xfId="130" applyNumberFormat="1" applyFont="1" applyFill="1" applyBorder="1" applyAlignment="1">
      <alignment horizontal="center" vertical="center"/>
    </xf>
    <xf numFmtId="0" fontId="15" fillId="0" borderId="1" xfId="130" applyFont="1" applyFill="1" applyBorder="1" applyAlignment="1">
      <alignment horizontal="center" vertical="center"/>
    </xf>
    <xf numFmtId="0" fontId="15" fillId="0" borderId="1" xfId="130" applyFont="1" applyFill="1" applyBorder="1" applyAlignment="1">
      <alignment horizontal="left" vertical="center" wrapText="1"/>
    </xf>
    <xf numFmtId="0" fontId="25" fillId="0" borderId="1" xfId="130" applyFont="1" applyFill="1" applyBorder="1" applyAlignment="1">
      <alignment horizontal="center" vertical="center"/>
    </xf>
    <xf numFmtId="0" fontId="14" fillId="0" borderId="1" xfId="130" applyFont="1" applyFill="1" applyBorder="1" applyAlignment="1">
      <alignment horizontal="left" vertical="center" wrapText="1"/>
    </xf>
    <xf numFmtId="179" fontId="25" fillId="0" borderId="1" xfId="130" applyNumberFormat="1" applyFont="1" applyFill="1" applyBorder="1" applyAlignment="1">
      <alignment horizontal="center" vertical="center"/>
    </xf>
    <xf numFmtId="179" fontId="25" fillId="5" borderId="1" xfId="130" applyNumberFormat="1" applyFont="1" applyFill="1" applyBorder="1" applyAlignment="1">
      <alignment horizontal="center" vertical="center"/>
    </xf>
    <xf numFmtId="0" fontId="14" fillId="2" borderId="1" xfId="130" applyFont="1" applyFill="1" applyBorder="1" applyAlignment="1">
      <alignment horizontal="left" vertical="center" wrapText="1"/>
    </xf>
    <xf numFmtId="179" fontId="25" fillId="2" borderId="1" xfId="130" applyNumberFormat="1" applyFont="1" applyFill="1" applyBorder="1" applyAlignment="1">
      <alignment horizontal="center" vertical="center"/>
    </xf>
    <xf numFmtId="0" fontId="14" fillId="2" borderId="1" xfId="130" applyNumberFormat="1" applyFont="1" applyFill="1" applyBorder="1" applyAlignment="1">
      <alignment horizontal="left" vertical="center" wrapText="1"/>
    </xf>
    <xf numFmtId="0" fontId="14" fillId="0" borderId="1" xfId="88" applyNumberFormat="1" applyFont="1" applyFill="1" applyBorder="1" applyAlignment="1">
      <alignment horizontal="left" vertical="center" wrapText="1"/>
    </xf>
    <xf numFmtId="179" fontId="24" fillId="0" borderId="1" xfId="130" applyNumberFormat="1" applyFont="1" applyFill="1" applyBorder="1" applyAlignment="1">
      <alignment horizontal="right" vertical="center"/>
    </xf>
    <xf numFmtId="179" fontId="24" fillId="5" borderId="1" xfId="130" applyNumberFormat="1" applyFont="1" applyFill="1" applyBorder="1" applyAlignment="1">
      <alignment horizontal="right" vertical="center"/>
    </xf>
    <xf numFmtId="179" fontId="25" fillId="0" borderId="1" xfId="130" applyNumberFormat="1" applyFont="1" applyFill="1" applyBorder="1" applyAlignment="1">
      <alignment horizontal="right" vertical="center"/>
    </xf>
    <xf numFmtId="179" fontId="25" fillId="5" borderId="1" xfId="130" applyNumberFormat="1" applyFont="1" applyFill="1" applyBorder="1" applyAlignment="1">
      <alignment horizontal="right" vertical="center"/>
    </xf>
    <xf numFmtId="0" fontId="14" fillId="0" borderId="1" xfId="88" applyNumberFormat="1" applyFont="1" applyFill="1" applyBorder="1" applyAlignment="1">
      <alignment horizontal="left" vertical="center" wrapText="1" indent="1"/>
    </xf>
    <xf numFmtId="0" fontId="0" fillId="0" borderId="0" xfId="171" applyFont="1" applyFill="1" applyBorder="1" applyAlignment="1">
      <alignment horizontal="center"/>
    </xf>
    <xf numFmtId="189" fontId="0" fillId="0" borderId="0" xfId="171" applyNumberFormat="1" applyFont="1" applyFill="1" applyBorder="1" applyAlignment="1"/>
    <xf numFmtId="190" fontId="0" fillId="0" borderId="0" xfId="171" applyNumberFormat="1" applyFont="1" applyFill="1" applyBorder="1" applyAlignment="1"/>
    <xf numFmtId="0" fontId="26" fillId="0" borderId="3" xfId="129" applyNumberFormat="1" applyFont="1" applyFill="1" applyBorder="1" applyAlignment="1">
      <alignment horizontal="center" vertical="center" wrapText="1"/>
    </xf>
    <xf numFmtId="0" fontId="26" fillId="0" borderId="4" xfId="129" applyNumberFormat="1" applyFont="1" applyFill="1" applyBorder="1" applyAlignment="1">
      <alignment horizontal="center" vertical="center" wrapText="1"/>
    </xf>
    <xf numFmtId="0" fontId="26" fillId="0" borderId="5" xfId="129" applyNumberFormat="1" applyFont="1" applyFill="1" applyBorder="1" applyAlignment="1">
      <alignment horizontal="center" vertical="center" wrapText="1"/>
    </xf>
    <xf numFmtId="189" fontId="26" fillId="0" borderId="5" xfId="129" applyNumberFormat="1" applyFont="1" applyFill="1" applyBorder="1" applyAlignment="1">
      <alignment horizontal="center" vertical="center" wrapText="1"/>
    </xf>
    <xf numFmtId="190" fontId="26" fillId="0" borderId="5" xfId="129" applyNumberFormat="1" applyFont="1" applyFill="1" applyBorder="1" applyAlignment="1">
      <alignment horizontal="center" vertical="center" wrapText="1"/>
    </xf>
    <xf numFmtId="0" fontId="26" fillId="0" borderId="1" xfId="129" applyNumberFormat="1" applyFont="1" applyFill="1" applyBorder="1" applyAlignment="1">
      <alignment horizontal="center" vertical="center" wrapText="1"/>
    </xf>
    <xf numFmtId="189" fontId="26" fillId="0" borderId="1" xfId="129" applyNumberFormat="1" applyFont="1" applyFill="1" applyBorder="1" applyAlignment="1">
      <alignment horizontal="center" vertical="center" wrapText="1"/>
    </xf>
    <xf numFmtId="190" fontId="26" fillId="0" borderId="1" xfId="129" applyNumberFormat="1" applyFont="1" applyFill="1" applyBorder="1" applyAlignment="1">
      <alignment horizontal="center" vertical="center" wrapText="1"/>
    </xf>
    <xf numFmtId="0" fontId="0" fillId="0" borderId="1" xfId="171" applyFont="1" applyFill="1" applyBorder="1" applyAlignment="1">
      <alignment horizontal="center"/>
    </xf>
    <xf numFmtId="0" fontId="0" fillId="0" borderId="1" xfId="171" applyFont="1" applyFill="1" applyBorder="1" applyAlignment="1"/>
    <xf numFmtId="189" fontId="0" fillId="0" borderId="1" xfId="171" applyNumberFormat="1" applyFont="1" applyFill="1" applyBorder="1" applyAlignment="1"/>
    <xf numFmtId="190" fontId="0" fillId="0" borderId="1" xfId="171" applyNumberFormat="1" applyFont="1" applyFill="1" applyBorder="1" applyAlignment="1"/>
    <xf numFmtId="190" fontId="24" fillId="0" borderId="1" xfId="130" applyNumberFormat="1" applyFont="1" applyFill="1" applyBorder="1" applyAlignment="1">
      <alignment horizontal="center" vertical="center"/>
    </xf>
    <xf numFmtId="190" fontId="25" fillId="0" borderId="1" xfId="130" applyNumberFormat="1" applyFont="1" applyFill="1" applyBorder="1" applyAlignment="1">
      <alignment horizontal="center" vertical="center"/>
    </xf>
    <xf numFmtId="179" fontId="22" fillId="0" borderId="0" xfId="130" applyNumberFormat="1" applyFont="1" applyFill="1" applyAlignment="1">
      <alignment horizontal="center" vertical="center" wrapText="1"/>
    </xf>
    <xf numFmtId="190" fontId="22" fillId="0" borderId="0" xfId="130" applyNumberFormat="1" applyFont="1" applyFill="1" applyAlignment="1">
      <alignment horizontal="center" vertical="center" wrapText="1"/>
    </xf>
    <xf numFmtId="0" fontId="27" fillId="0" borderId="10" xfId="129" applyNumberFormat="1" applyFont="1" applyFill="1" applyBorder="1" applyAlignment="1">
      <alignment horizontal="right" vertical="center"/>
    </xf>
    <xf numFmtId="179" fontId="0" fillId="0" borderId="0" xfId="171" applyNumberFormat="1" applyFont="1" applyFill="1" applyBorder="1" applyAlignment="1"/>
    <xf numFmtId="0" fontId="26" fillId="0" borderId="1" xfId="129" applyNumberFormat="1" applyFont="1" applyFill="1" applyBorder="1" applyAlignment="1">
      <alignment vertical="center" wrapText="1"/>
    </xf>
    <xf numFmtId="179" fontId="26" fillId="0" borderId="5" xfId="129" applyNumberFormat="1" applyFont="1" applyFill="1" applyBorder="1" applyAlignment="1">
      <alignment horizontal="center" vertical="center" wrapText="1"/>
    </xf>
    <xf numFmtId="179" fontId="26" fillId="0" borderId="1" xfId="129" applyNumberFormat="1" applyFont="1" applyFill="1" applyBorder="1" applyAlignment="1">
      <alignment horizontal="center" vertical="center" wrapText="1"/>
    </xf>
    <xf numFmtId="179" fontId="0" fillId="0" borderId="1" xfId="171" applyNumberFormat="1" applyFont="1" applyFill="1" applyBorder="1" applyAlignment="1"/>
    <xf numFmtId="0" fontId="0" fillId="2" borderId="0" xfId="171" applyFont="1" applyFill="1" applyAlignment="1"/>
    <xf numFmtId="179" fontId="0" fillId="5" borderId="0" xfId="171" applyNumberFormat="1" applyFont="1" applyFill="1" applyAlignment="1"/>
    <xf numFmtId="179" fontId="0" fillId="0" borderId="0" xfId="171" applyNumberFormat="1" applyFont="1" applyFill="1" applyAlignment="1">
      <alignment horizontal="center"/>
    </xf>
    <xf numFmtId="190" fontId="0" fillId="0" borderId="0" xfId="171" applyNumberFormat="1" applyFont="1" applyFill="1" applyAlignment="1">
      <alignment horizontal="center"/>
    </xf>
    <xf numFmtId="179" fontId="21" fillId="5" borderId="0" xfId="130" applyNumberFormat="1" applyFont="1" applyFill="1" applyAlignment="1">
      <alignment horizontal="right"/>
    </xf>
    <xf numFmtId="179" fontId="14" fillId="5" borderId="0" xfId="130" applyNumberFormat="1" applyFont="1" applyFill="1" applyBorder="1" applyAlignment="1">
      <alignment horizontal="right" vertical="center"/>
    </xf>
    <xf numFmtId="179" fontId="23" fillId="5" borderId="2" xfId="130" applyNumberFormat="1" applyFont="1" applyFill="1" applyBorder="1" applyAlignment="1">
      <alignment horizontal="center" vertical="center" wrapText="1"/>
    </xf>
    <xf numFmtId="179" fontId="23" fillId="5" borderId="6" xfId="130" applyNumberFormat="1" applyFont="1" applyFill="1" applyBorder="1" applyAlignment="1">
      <alignment horizontal="center" vertical="center" wrapText="1"/>
    </xf>
    <xf numFmtId="179" fontId="24" fillId="5" borderId="1" xfId="130" applyNumberFormat="1" applyFont="1" applyFill="1" applyBorder="1" applyAlignment="1">
      <alignment horizontal="center" vertical="center" wrapText="1"/>
    </xf>
    <xf numFmtId="190" fontId="25" fillId="5" borderId="1" xfId="130" applyNumberFormat="1" applyFont="1" applyFill="1" applyBorder="1" applyAlignment="1">
      <alignment horizontal="center" vertical="center" wrapText="1"/>
    </xf>
    <xf numFmtId="0" fontId="15" fillId="2" borderId="1" xfId="130" applyFont="1" applyFill="1" applyBorder="1" applyAlignment="1">
      <alignment horizontal="center" vertical="center" wrapText="1"/>
    </xf>
    <xf numFmtId="179" fontId="25" fillId="2" borderId="1" xfId="130" applyNumberFormat="1" applyFont="1" applyFill="1" applyBorder="1" applyAlignment="1">
      <alignment horizontal="right" vertical="center"/>
    </xf>
    <xf numFmtId="0" fontId="24" fillId="0" borderId="1" xfId="130" applyFont="1" applyFill="1" applyBorder="1" applyAlignment="1">
      <alignment horizontal="center" vertical="center"/>
    </xf>
    <xf numFmtId="0" fontId="14" fillId="0" borderId="0" xfId="171" applyFont="1" applyFill="1" applyBorder="1" applyAlignment="1">
      <alignment horizontal="center" vertical="center" wrapText="1"/>
    </xf>
    <xf numFmtId="179" fontId="0" fillId="0" borderId="0" xfId="171" applyNumberFormat="1" applyFont="1" applyFill="1" applyBorder="1" applyAlignment="1">
      <alignment horizontal="center"/>
    </xf>
    <xf numFmtId="190" fontId="0" fillId="0" borderId="0" xfId="171" applyNumberFormat="1" applyFont="1" applyFill="1" applyBorder="1" applyAlignment="1">
      <alignment horizontal="center"/>
    </xf>
    <xf numFmtId="179" fontId="0" fillId="0" borderId="1" xfId="171" applyNumberFormat="1" applyFont="1" applyFill="1" applyBorder="1" applyAlignment="1">
      <alignment horizontal="center"/>
    </xf>
    <xf numFmtId="190" fontId="0" fillId="0" borderId="1" xfId="171" applyNumberFormat="1" applyFont="1" applyFill="1" applyBorder="1" applyAlignment="1">
      <alignment horizontal="center"/>
    </xf>
    <xf numFmtId="0" fontId="27" fillId="0" borderId="0" xfId="129" applyNumberFormat="1" applyFont="1" applyFill="1" applyBorder="1" applyAlignment="1">
      <alignment horizontal="left" vertical="center"/>
    </xf>
    <xf numFmtId="0" fontId="27" fillId="0" borderId="0" xfId="129" applyNumberFormat="1" applyFont="1" applyFill="1" applyBorder="1" applyAlignment="1">
      <alignment horizontal="center" vertical="center"/>
    </xf>
    <xf numFmtId="0" fontId="26" fillId="0" borderId="4" xfId="129" applyNumberFormat="1" applyFont="1" applyFill="1" applyBorder="1" applyAlignment="1">
      <alignment vertical="center" wrapText="1"/>
    </xf>
    <xf numFmtId="0" fontId="26" fillId="0" borderId="5" xfId="129" applyNumberFormat="1" applyFont="1" applyFill="1" applyBorder="1" applyAlignment="1">
      <alignment vertical="center" wrapText="1"/>
    </xf>
    <xf numFmtId="0" fontId="28" fillId="2" borderId="0" xfId="171" applyFont="1" applyFill="1" applyAlignment="1"/>
    <xf numFmtId="0" fontId="0" fillId="0" borderId="0" xfId="171" applyFont="1" applyFill="1" applyAlignment="1">
      <alignment horizontal="left" wrapText="1"/>
    </xf>
    <xf numFmtId="0" fontId="0" fillId="2" borderId="0" xfId="171" applyFont="1" applyFill="1" applyAlignment="1">
      <alignment horizontal="center"/>
    </xf>
    <xf numFmtId="179" fontId="0" fillId="2" borderId="0" xfId="171" applyNumberFormat="1" applyFont="1" applyFill="1" applyAlignment="1"/>
    <xf numFmtId="0" fontId="29" fillId="0" borderId="0" xfId="171" applyFont="1" applyFill="1" applyAlignment="1"/>
    <xf numFmtId="0" fontId="21" fillId="2" borderId="0" xfId="130" applyFont="1" applyFill="1" applyAlignment="1">
      <alignment horizontal="center"/>
    </xf>
    <xf numFmtId="179" fontId="21" fillId="2" borderId="0" xfId="130" applyNumberFormat="1" applyFont="1" applyFill="1" applyAlignment="1">
      <alignment horizontal="right"/>
    </xf>
    <xf numFmtId="0" fontId="22" fillId="0" borderId="0" xfId="130" applyFont="1" applyFill="1" applyAlignment="1">
      <alignment horizontal="left" vertical="center" wrapText="1"/>
    </xf>
    <xf numFmtId="0" fontId="23" fillId="0" borderId="0" xfId="130" applyFont="1" applyFill="1" applyBorder="1" applyAlignment="1">
      <alignment horizontal="left" vertical="center" wrapText="1"/>
    </xf>
    <xf numFmtId="0" fontId="23" fillId="2" borderId="0" xfId="130" applyFont="1" applyFill="1" applyBorder="1" applyAlignment="1">
      <alignment vertical="center" wrapText="1"/>
    </xf>
    <xf numFmtId="0" fontId="14" fillId="2" borderId="0" xfId="130" applyFont="1" applyFill="1" applyBorder="1" applyAlignment="1">
      <alignment horizontal="right" vertical="center"/>
    </xf>
    <xf numFmtId="179" fontId="23" fillId="2" borderId="1" xfId="130" applyNumberFormat="1" applyFont="1" applyFill="1" applyBorder="1" applyAlignment="1">
      <alignment horizontal="center" vertical="center" wrapText="1"/>
    </xf>
    <xf numFmtId="179" fontId="23" fillId="5" borderId="1" xfId="130" applyNumberFormat="1" applyFont="1" applyFill="1" applyBorder="1" applyAlignment="1">
      <alignment horizontal="center" vertical="center" wrapText="1"/>
    </xf>
    <xf numFmtId="190" fontId="23" fillId="5" borderId="1" xfId="130" applyNumberFormat="1" applyFont="1" applyFill="1" applyBorder="1" applyAlignment="1">
      <alignment horizontal="center" vertical="center" wrapText="1"/>
    </xf>
    <xf numFmtId="0" fontId="23" fillId="0" borderId="1" xfId="130" applyFont="1" applyFill="1" applyBorder="1" applyAlignment="1">
      <alignment horizontal="left" vertical="center" wrapText="1"/>
    </xf>
    <xf numFmtId="0" fontId="23" fillId="2" borderId="1" xfId="130" applyFont="1" applyFill="1" applyBorder="1" applyAlignment="1">
      <alignment horizontal="center" vertical="center"/>
    </xf>
    <xf numFmtId="179" fontId="24" fillId="2" borderId="1" xfId="130" applyNumberFormat="1" applyFont="1" applyFill="1" applyBorder="1" applyAlignment="1">
      <alignment horizontal="center" vertical="center" wrapText="1"/>
    </xf>
    <xf numFmtId="0" fontId="24" fillId="2" borderId="1" xfId="130" applyFont="1" applyFill="1" applyBorder="1" applyAlignment="1">
      <alignment horizontal="center" vertical="center"/>
    </xf>
    <xf numFmtId="0" fontId="14" fillId="0" borderId="0" xfId="171" applyFont="1" applyFill="1" applyBorder="1" applyAlignment="1">
      <alignment vertical="center" wrapText="1"/>
    </xf>
    <xf numFmtId="190" fontId="0" fillId="5" borderId="0" xfId="171" applyNumberFormat="1" applyFont="1" applyFill="1" applyBorder="1" applyAlignment="1"/>
    <xf numFmtId="0" fontId="23" fillId="0" borderId="1" xfId="129" applyNumberFormat="1" applyFont="1" applyFill="1" applyBorder="1" applyAlignment="1">
      <alignment horizontal="center" vertical="center" wrapText="1"/>
    </xf>
    <xf numFmtId="190" fontId="26" fillId="5" borderId="1" xfId="129" applyNumberFormat="1" applyFont="1" applyFill="1" applyBorder="1" applyAlignment="1">
      <alignment horizontal="center" vertical="center" wrapText="1"/>
    </xf>
    <xf numFmtId="0" fontId="28" fillId="0" borderId="1" xfId="171" applyFont="1" applyFill="1" applyBorder="1" applyAlignment="1">
      <alignment horizontal="center"/>
    </xf>
    <xf numFmtId="190" fontId="0" fillId="5" borderId="1" xfId="171" applyNumberFormat="1" applyFont="1" applyFill="1" applyBorder="1" applyAlignment="1"/>
    <xf numFmtId="179" fontId="25" fillId="0" borderId="1" xfId="171" applyNumberFormat="1" applyFont="1" applyFill="1" applyBorder="1" applyAlignment="1">
      <alignment horizontal="center" vertical="center"/>
    </xf>
    <xf numFmtId="0" fontId="23" fillId="0" borderId="3" xfId="129" applyNumberFormat="1" applyFont="1" applyFill="1" applyBorder="1" applyAlignment="1">
      <alignment horizontal="center" vertical="center" wrapText="1"/>
    </xf>
    <xf numFmtId="0" fontId="23" fillId="0" borderId="4" xfId="129" applyNumberFormat="1" applyFont="1" applyFill="1" applyBorder="1" applyAlignment="1">
      <alignment horizontal="center" vertical="center" wrapText="1"/>
    </xf>
    <xf numFmtId="0" fontId="23" fillId="0" borderId="5" xfId="129" applyNumberFormat="1" applyFont="1" applyFill="1" applyBorder="1" applyAlignment="1">
      <alignment horizontal="center" vertical="center" wrapText="1"/>
    </xf>
    <xf numFmtId="190" fontId="29" fillId="0" borderId="0" xfId="171" applyNumberFormat="1" applyFont="1" applyFill="1" applyAlignment="1"/>
    <xf numFmtId="0" fontId="29" fillId="0" borderId="0" xfId="171" applyFont="1" applyFill="1" applyBorder="1" applyAlignment="1"/>
    <xf numFmtId="190" fontId="29" fillId="0" borderId="1" xfId="171" applyNumberFormat="1" applyFont="1" applyFill="1" applyBorder="1" applyAlignment="1"/>
    <xf numFmtId="179" fontId="30" fillId="0" borderId="0" xfId="171" applyNumberFormat="1" applyFont="1" applyFill="1" applyAlignment="1"/>
    <xf numFmtId="0" fontId="25" fillId="0" borderId="0" xfId="129" applyFont="1" applyFill="1"/>
    <xf numFmtId="0" fontId="25" fillId="0" borderId="0" xfId="129" applyFont="1" applyFill="1" applyBorder="1"/>
    <xf numFmtId="0" fontId="31" fillId="0" borderId="0" xfId="129" applyNumberFormat="1" applyFont="1" applyFill="1" applyAlignment="1">
      <alignment wrapText="1"/>
    </xf>
    <xf numFmtId="0" fontId="31" fillId="0" borderId="0" xfId="129" applyFont="1" applyFill="1"/>
    <xf numFmtId="0" fontId="0" fillId="0" borderId="0" xfId="115" applyFont="1" applyFill="1"/>
    <xf numFmtId="0" fontId="0" fillId="0" borderId="0" xfId="115" applyFont="1" applyFill="1" applyAlignment="1">
      <alignment horizontal="center"/>
    </xf>
    <xf numFmtId="179" fontId="0" fillId="5" borderId="0" xfId="115" applyNumberFormat="1" applyFont="1" applyFill="1"/>
    <xf numFmtId="190" fontId="0" fillId="5" borderId="0" xfId="115" applyNumberFormat="1" applyFont="1" applyFill="1"/>
    <xf numFmtId="0" fontId="0" fillId="0" borderId="0" xfId="115" applyFont="1" applyFill="1" applyAlignment="1">
      <alignment horizontal="center" vertical="center"/>
    </xf>
    <xf numFmtId="0" fontId="0" fillId="0" borderId="0" xfId="115" applyNumberFormat="1" applyFont="1" applyFill="1" applyAlignment="1">
      <alignment horizontal="center" vertical="center"/>
    </xf>
    <xf numFmtId="179" fontId="0" fillId="0" borderId="0" xfId="115" applyNumberFormat="1" applyFont="1" applyFill="1" applyAlignment="1">
      <alignment horizontal="center" vertical="center"/>
    </xf>
    <xf numFmtId="190" fontId="0" fillId="0" borderId="0" xfId="115" applyNumberFormat="1" applyFont="1" applyFill="1" applyAlignment="1">
      <alignment horizontal="center" vertical="center"/>
    </xf>
    <xf numFmtId="190" fontId="0" fillId="5" borderId="0" xfId="115" applyNumberFormat="1" applyFont="1" applyFill="1" applyAlignment="1">
      <alignment horizontal="center" vertical="center"/>
    </xf>
    <xf numFmtId="0" fontId="0" fillId="2" borderId="0" xfId="115" applyNumberFormat="1" applyFont="1" applyFill="1" applyAlignment="1">
      <alignment horizontal="center" vertical="center"/>
    </xf>
    <xf numFmtId="0" fontId="22" fillId="0" borderId="0" xfId="129" applyNumberFormat="1" applyFont="1" applyFill="1" applyBorder="1" applyAlignment="1">
      <alignment horizontal="center" vertical="center" wrapText="1"/>
    </xf>
    <xf numFmtId="0" fontId="21" fillId="0" borderId="0" xfId="129" applyFont="1" applyFill="1" applyBorder="1" applyAlignment="1">
      <alignment horizontal="center" vertical="center"/>
    </xf>
    <xf numFmtId="0" fontId="32" fillId="0" borderId="0" xfId="129" applyFont="1" applyFill="1" applyBorder="1" applyAlignment="1">
      <alignment horizontal="right" vertical="center"/>
    </xf>
    <xf numFmtId="0" fontId="14" fillId="0" borderId="0" xfId="129" applyNumberFormat="1" applyFont="1" applyFill="1" applyBorder="1" applyAlignment="1">
      <alignment horizontal="center" vertical="center"/>
    </xf>
    <xf numFmtId="179" fontId="14" fillId="5" borderId="0" xfId="129" applyNumberFormat="1" applyFont="1" applyFill="1" applyBorder="1" applyAlignment="1">
      <alignment horizontal="center" vertical="center"/>
    </xf>
    <xf numFmtId="0" fontId="26" fillId="5" borderId="5" xfId="129" applyNumberFormat="1" applyFont="1" applyFill="1" applyBorder="1" applyAlignment="1">
      <alignment horizontal="center" vertical="center" wrapText="1"/>
    </xf>
    <xf numFmtId="179" fontId="26" fillId="5" borderId="5" xfId="129" applyNumberFormat="1" applyFont="1" applyFill="1" applyBorder="1" applyAlignment="1">
      <alignment horizontal="center" vertical="center" wrapText="1"/>
    </xf>
    <xf numFmtId="0" fontId="33" fillId="0" borderId="1" xfId="129" applyNumberFormat="1" applyFont="1" applyFill="1" applyBorder="1" applyAlignment="1">
      <alignment horizontal="center" vertical="center" wrapText="1"/>
    </xf>
    <xf numFmtId="177" fontId="34" fillId="0" borderId="1" xfId="129" applyNumberFormat="1" applyFont="1" applyFill="1" applyBorder="1" applyAlignment="1">
      <alignment horizontal="center" vertical="center" wrapText="1"/>
    </xf>
    <xf numFmtId="9" fontId="34" fillId="0" borderId="1" xfId="129" applyNumberFormat="1" applyFont="1" applyFill="1" applyBorder="1" applyAlignment="1">
      <alignment horizontal="center" vertical="center" wrapText="1"/>
    </xf>
    <xf numFmtId="177" fontId="33" fillId="5" borderId="5" xfId="129" applyNumberFormat="1" applyFont="1" applyFill="1" applyBorder="1" applyAlignment="1">
      <alignment horizontal="center" vertical="center" wrapText="1"/>
    </xf>
    <xf numFmtId="0" fontId="27" fillId="0" borderId="1" xfId="129" applyFont="1" applyFill="1" applyBorder="1" applyAlignment="1">
      <alignment horizontal="center" vertical="center"/>
    </xf>
    <xf numFmtId="0" fontId="27" fillId="2" borderId="1" xfId="129" applyFont="1" applyFill="1" applyBorder="1" applyAlignment="1">
      <alignment vertical="center"/>
    </xf>
    <xf numFmtId="177" fontId="31" fillId="0" borderId="1" xfId="129" applyNumberFormat="1" applyFont="1" applyFill="1" applyBorder="1" applyAlignment="1">
      <alignment horizontal="center" vertical="center"/>
    </xf>
    <xf numFmtId="9" fontId="31" fillId="0" borderId="1" xfId="129" applyNumberFormat="1" applyFont="1" applyFill="1" applyBorder="1" applyAlignment="1">
      <alignment horizontal="center" vertical="center" wrapText="1"/>
    </xf>
    <xf numFmtId="0" fontId="27" fillId="0" borderId="1" xfId="129" applyFont="1" applyFill="1" applyBorder="1" applyAlignment="1">
      <alignment horizontal="left" vertical="center" indent="1"/>
    </xf>
    <xf numFmtId="177" fontId="34" fillId="0" borderId="1" xfId="129" applyNumberFormat="1" applyFont="1" applyFill="1" applyBorder="1" applyAlignment="1">
      <alignment horizontal="center" vertical="center"/>
    </xf>
    <xf numFmtId="177" fontId="34" fillId="5" borderId="1" xfId="129" applyNumberFormat="1" applyFont="1" applyFill="1" applyBorder="1" applyAlignment="1">
      <alignment horizontal="center" vertical="center"/>
    </xf>
    <xf numFmtId="177" fontId="31" fillId="5" borderId="5" xfId="129" applyNumberFormat="1" applyFont="1" applyFill="1" applyBorder="1" applyAlignment="1">
      <alignment horizontal="center" vertical="center"/>
    </xf>
    <xf numFmtId="0" fontId="27" fillId="0" borderId="1" xfId="129" applyFont="1" applyFill="1" applyBorder="1" applyAlignment="1">
      <alignment vertical="center"/>
    </xf>
    <xf numFmtId="190" fontId="14" fillId="5" borderId="0" xfId="129" applyNumberFormat="1" applyFont="1" applyFill="1" applyBorder="1" applyAlignment="1">
      <alignment horizontal="center" vertical="center"/>
    </xf>
    <xf numFmtId="179" fontId="14" fillId="0" borderId="0" xfId="129" applyNumberFormat="1" applyFont="1" applyFill="1" applyBorder="1" applyAlignment="1">
      <alignment horizontal="center" vertical="center"/>
    </xf>
    <xf numFmtId="190" fontId="14" fillId="0" borderId="0" xfId="129" applyNumberFormat="1" applyFont="1" applyFill="1" applyBorder="1" applyAlignment="1">
      <alignment horizontal="center" vertical="center"/>
    </xf>
    <xf numFmtId="0" fontId="26" fillId="5" borderId="1" xfId="129" applyNumberFormat="1" applyFont="1" applyFill="1" applyBorder="1" applyAlignment="1">
      <alignment horizontal="center" vertical="center" wrapText="1"/>
    </xf>
    <xf numFmtId="190" fontId="33" fillId="5" borderId="1" xfId="129" applyNumberFormat="1" applyFont="1" applyFill="1" applyBorder="1" applyAlignment="1">
      <alignment horizontal="center" vertical="center" wrapText="1"/>
    </xf>
    <xf numFmtId="177" fontId="33" fillId="0" borderId="1" xfId="129" applyNumberFormat="1" applyFont="1" applyFill="1" applyBorder="1" applyAlignment="1">
      <alignment horizontal="center" vertical="center" wrapText="1"/>
    </xf>
    <xf numFmtId="9" fontId="33" fillId="0" borderId="1" xfId="129" applyNumberFormat="1" applyFont="1" applyFill="1" applyBorder="1" applyAlignment="1">
      <alignment horizontal="center" vertical="center" wrapText="1"/>
    </xf>
    <xf numFmtId="177" fontId="33" fillId="0" borderId="5" xfId="129" applyNumberFormat="1" applyFont="1" applyFill="1" applyBorder="1" applyAlignment="1">
      <alignment horizontal="center" vertical="center" wrapText="1"/>
    </xf>
    <xf numFmtId="177" fontId="31" fillId="0" borderId="5" xfId="129" applyNumberFormat="1" applyFont="1" applyFill="1" applyBorder="1" applyAlignment="1">
      <alignment horizontal="center" vertical="center"/>
    </xf>
    <xf numFmtId="0" fontId="34" fillId="0" borderId="1" xfId="129" applyNumberFormat="1" applyFont="1" applyFill="1" applyBorder="1" applyAlignment="1">
      <alignment horizontal="center" vertical="center"/>
    </xf>
    <xf numFmtId="179" fontId="22" fillId="0" borderId="0" xfId="129" applyNumberFormat="1" applyFont="1" applyFill="1" applyBorder="1" applyAlignment="1">
      <alignment horizontal="center" vertical="center" wrapText="1"/>
    </xf>
    <xf numFmtId="190" fontId="22" fillId="0" borderId="0" xfId="129" applyNumberFormat="1" applyFont="1" applyFill="1" applyBorder="1" applyAlignment="1">
      <alignment horizontal="center" vertical="center" wrapText="1"/>
    </xf>
    <xf numFmtId="0" fontId="14" fillId="2" borderId="0" xfId="129" applyNumberFormat="1" applyFont="1" applyFill="1" applyBorder="1" applyAlignment="1">
      <alignment horizontal="center" vertical="center"/>
    </xf>
    <xf numFmtId="0" fontId="26" fillId="2" borderId="1" xfId="129" applyNumberFormat="1" applyFont="1" applyFill="1" applyBorder="1" applyAlignment="1">
      <alignment horizontal="center" vertical="center" wrapText="1"/>
    </xf>
    <xf numFmtId="0" fontId="31" fillId="0" borderId="1" xfId="129" applyNumberFormat="1" applyFont="1" applyFill="1" applyBorder="1" applyAlignment="1">
      <alignment wrapText="1"/>
    </xf>
    <xf numFmtId="177" fontId="34" fillId="2" borderId="1" xfId="129" applyNumberFormat="1" applyFont="1" applyFill="1" applyBorder="1" applyAlignment="1">
      <alignment horizontal="center" vertical="center" wrapText="1"/>
    </xf>
    <xf numFmtId="177" fontId="31" fillId="2" borderId="1" xfId="129" applyNumberFormat="1" applyFont="1" applyFill="1" applyBorder="1" applyAlignment="1">
      <alignment horizontal="center" vertical="center"/>
    </xf>
    <xf numFmtId="0" fontId="31" fillId="0" borderId="1" xfId="129" applyFont="1" applyFill="1" applyBorder="1"/>
    <xf numFmtId="190" fontId="22" fillId="5" borderId="0" xfId="129" applyNumberFormat="1" applyFont="1" applyFill="1" applyBorder="1" applyAlignment="1">
      <alignment horizontal="center" vertical="center" wrapText="1"/>
    </xf>
    <xf numFmtId="0" fontId="35" fillId="0" borderId="0" xfId="115" applyFont="1" applyFill="1"/>
    <xf numFmtId="0" fontId="36" fillId="0" borderId="0" xfId="115" applyFont="1" applyFill="1"/>
    <xf numFmtId="177" fontId="37" fillId="0" borderId="0" xfId="115" applyNumberFormat="1" applyFont="1" applyFill="1"/>
    <xf numFmtId="179" fontId="37" fillId="5" borderId="0" xfId="115" applyNumberFormat="1" applyFont="1" applyFill="1"/>
    <xf numFmtId="190" fontId="37" fillId="5" borderId="0" xfId="115" applyNumberFormat="1" applyFont="1" applyFill="1"/>
    <xf numFmtId="0" fontId="37" fillId="0" borderId="0" xfId="115" applyNumberFormat="1" applyFont="1" applyFill="1" applyAlignment="1">
      <alignment horizontal="center" vertical="center"/>
    </xf>
    <xf numFmtId="179" fontId="37" fillId="0" borderId="0" xfId="115" applyNumberFormat="1" applyFont="1" applyFill="1" applyAlignment="1">
      <alignment horizontal="center" vertical="center"/>
    </xf>
    <xf numFmtId="190" fontId="37" fillId="0" borderId="0" xfId="115" applyNumberFormat="1" applyFont="1" applyFill="1" applyAlignment="1">
      <alignment horizontal="center" vertical="center"/>
    </xf>
    <xf numFmtId="190" fontId="37" fillId="5" borderId="0" xfId="115" applyNumberFormat="1" applyFont="1" applyFill="1" applyAlignment="1">
      <alignment horizontal="center" vertical="center"/>
    </xf>
    <xf numFmtId="0" fontId="37" fillId="2" borderId="0" xfId="115" applyNumberFormat="1" applyFont="1" applyFill="1" applyAlignment="1">
      <alignment horizontal="center" vertical="center"/>
    </xf>
    <xf numFmtId="0" fontId="1" fillId="2" borderId="0" xfId="0" applyFont="1" applyFill="1" applyAlignment="1">
      <alignment horizontal="center"/>
    </xf>
    <xf numFmtId="0" fontId="4" fillId="2" borderId="0" xfId="0" applyFont="1" applyFill="1" applyAlignment="1">
      <alignment horizontal="center"/>
    </xf>
    <xf numFmtId="0" fontId="29" fillId="2" borderId="0" xfId="0" applyFont="1" applyFill="1" applyAlignment="1">
      <alignment vertical="center" wrapText="1"/>
    </xf>
    <xf numFmtId="0" fontId="4" fillId="2" borderId="0" xfId="0" applyFont="1" applyFill="1" applyAlignment="1">
      <alignment horizontal="left" vertical="center" wrapText="1"/>
    </xf>
    <xf numFmtId="179" fontId="4" fillId="2" borderId="0" xfId="0" applyNumberFormat="1" applyFont="1" applyFill="1" applyAlignment="1">
      <alignment horizontal="center" vertical="center"/>
    </xf>
    <xf numFmtId="183" fontId="4" fillId="2" borderId="0" xfId="0" applyNumberFormat="1" applyFont="1" applyFill="1" applyAlignment="1">
      <alignment horizontal="center" vertical="center"/>
    </xf>
    <xf numFmtId="177" fontId="4" fillId="2" borderId="0" xfId="0" applyNumberFormat="1" applyFont="1" applyFill="1" applyAlignment="1">
      <alignment horizontal="left" vertical="center" wrapText="1"/>
    </xf>
    <xf numFmtId="177" fontId="4" fillId="2" borderId="0" xfId="0" applyNumberFormat="1" applyFont="1" applyFill="1" applyAlignment="1">
      <alignment vertical="center" wrapText="1"/>
    </xf>
    <xf numFmtId="0" fontId="21" fillId="2" borderId="0" xfId="0" applyFont="1" applyFill="1" applyAlignment="1">
      <alignment horizontal="left" vertical="center" wrapText="1"/>
    </xf>
    <xf numFmtId="0" fontId="21" fillId="2" borderId="0" xfId="0" applyFont="1" applyFill="1" applyAlignment="1">
      <alignment horizontal="center" vertical="center" wrapText="1"/>
    </xf>
    <xf numFmtId="49" fontId="4" fillId="2" borderId="0" xfId="0" applyNumberFormat="1" applyFont="1" applyFill="1" applyBorder="1" applyAlignment="1">
      <alignment horizontal="center" vertical="center" wrapText="1"/>
    </xf>
    <xf numFmtId="0" fontId="3" fillId="2" borderId="0" xfId="0" applyNumberFormat="1" applyFont="1" applyFill="1" applyBorder="1" applyAlignment="1">
      <alignment horizontal="left" vertical="center" wrapText="1"/>
    </xf>
    <xf numFmtId="0" fontId="29" fillId="2" borderId="0" xfId="0" applyFont="1" applyFill="1" applyAlignment="1">
      <alignment horizontal="center" vertical="center" wrapText="1"/>
    </xf>
    <xf numFmtId="0" fontId="38" fillId="2" borderId="0" xfId="36" applyFont="1" applyFill="1" applyBorder="1" applyAlignment="1" applyProtection="1">
      <alignment vertical="center" wrapText="1"/>
    </xf>
    <xf numFmtId="0" fontId="6" fillId="2" borderId="0" xfId="0" applyFont="1" applyFill="1" applyAlignment="1">
      <alignment horizontal="center" vertical="center" wrapText="1"/>
    </xf>
    <xf numFmtId="0" fontId="39" fillId="2" borderId="0" xfId="0" applyFont="1" applyFill="1" applyAlignment="1">
      <alignment horizontal="center" vertical="center" wrapText="1"/>
    </xf>
    <xf numFmtId="0" fontId="8" fillId="2" borderId="0" xfId="0" applyFont="1" applyFill="1" applyBorder="1" applyAlignment="1">
      <alignment horizontal="left" vertical="center"/>
    </xf>
    <xf numFmtId="0" fontId="8" fillId="2" borderId="0" xfId="0" applyFont="1" applyFill="1" applyBorder="1" applyAlignment="1">
      <alignment vertical="center"/>
    </xf>
    <xf numFmtId="0" fontId="8" fillId="2" borderId="0" xfId="0" applyFont="1" applyFill="1" applyAlignment="1">
      <alignment horizontal="center" vertical="center" wrapText="1"/>
    </xf>
    <xf numFmtId="0" fontId="8" fillId="2" borderId="0" xfId="0" applyFont="1" applyFill="1" applyAlignment="1">
      <alignment horizontal="left" vertical="center" wrapText="1"/>
    </xf>
    <xf numFmtId="179" fontId="8" fillId="2" borderId="0" xfId="0" applyNumberFormat="1" applyFont="1" applyFill="1" applyAlignment="1">
      <alignment horizontal="center" vertical="center"/>
    </xf>
    <xf numFmtId="179" fontId="9" fillId="2" borderId="0" xfId="0" applyNumberFormat="1" applyFont="1" applyFill="1" applyAlignment="1">
      <alignment horizontal="center" vertical="center"/>
    </xf>
    <xf numFmtId="0" fontId="8" fillId="2" borderId="1" xfId="0"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179" fontId="8" fillId="2" borderId="3" xfId="281" applyNumberFormat="1" applyFont="1" applyFill="1" applyBorder="1" applyAlignment="1" applyProtection="1">
      <alignment horizontal="center" vertical="center" wrapText="1"/>
    </xf>
    <xf numFmtId="0" fontId="8" fillId="2" borderId="1" xfId="0" applyFont="1" applyFill="1" applyBorder="1" applyAlignment="1" applyProtection="1">
      <alignment vertical="center" wrapText="1"/>
    </xf>
    <xf numFmtId="0" fontId="8" fillId="2" borderId="1" xfId="0" applyFont="1" applyFill="1" applyBorder="1" applyAlignment="1" applyProtection="1">
      <alignment horizontal="left" vertical="center" wrapText="1"/>
    </xf>
    <xf numFmtId="0" fontId="8" fillId="2" borderId="1" xfId="36" applyFont="1" applyFill="1" applyBorder="1" applyAlignment="1" applyProtection="1">
      <alignment horizontal="center" vertical="center" wrapText="1"/>
    </xf>
    <xf numFmtId="0" fontId="8" fillId="2" borderId="1" xfId="36" applyFont="1" applyFill="1" applyBorder="1" applyAlignment="1" applyProtection="1">
      <alignment vertical="center" wrapText="1"/>
    </xf>
    <xf numFmtId="0" fontId="9" fillId="0" borderId="1" xfId="36" applyFont="1" applyFill="1" applyBorder="1" applyAlignment="1" applyProtection="1">
      <alignment horizontal="center" vertical="center" wrapText="1"/>
    </xf>
    <xf numFmtId="0" fontId="9" fillId="2" borderId="1" xfId="174" applyFont="1" applyFill="1" applyBorder="1" applyAlignment="1">
      <alignment horizontal="left" vertical="center" wrapText="1"/>
    </xf>
    <xf numFmtId="179" fontId="9" fillId="2" borderId="1" xfId="90" applyNumberFormat="1" applyFont="1" applyFill="1" applyBorder="1" applyAlignment="1">
      <alignment horizontal="center" vertical="center" wrapText="1"/>
    </xf>
    <xf numFmtId="179" fontId="9" fillId="2" borderId="1" xfId="0" applyNumberFormat="1" applyFont="1" applyFill="1" applyBorder="1" applyAlignment="1">
      <alignment vertical="center" wrapText="1"/>
    </xf>
    <xf numFmtId="181" fontId="9" fillId="2" borderId="1" xfId="90" applyNumberFormat="1" applyFont="1" applyFill="1" applyBorder="1" applyAlignment="1">
      <alignment horizontal="left" vertical="center" wrapText="1"/>
    </xf>
    <xf numFmtId="0" fontId="9" fillId="2" borderId="1" xfId="191" applyFont="1" applyFill="1" applyBorder="1" applyAlignment="1">
      <alignment horizontal="left" vertical="center" wrapText="1"/>
    </xf>
    <xf numFmtId="177" fontId="9" fillId="2" borderId="1" xfId="191" applyNumberFormat="1" applyFont="1" applyFill="1" applyBorder="1" applyAlignment="1">
      <alignment horizontal="center" vertical="center" wrapText="1"/>
    </xf>
    <xf numFmtId="181" fontId="9" fillId="2" borderId="1" xfId="0" applyNumberFormat="1" applyFont="1" applyFill="1" applyBorder="1" applyAlignment="1">
      <alignment horizontal="left" vertical="center" wrapText="1"/>
    </xf>
    <xf numFmtId="183" fontId="38" fillId="2" borderId="0" xfId="36" applyNumberFormat="1" applyFont="1" applyFill="1" applyBorder="1" applyAlignment="1" applyProtection="1">
      <alignment vertical="center" wrapText="1"/>
    </xf>
    <xf numFmtId="179" fontId="38" fillId="2" borderId="0" xfId="36" applyNumberFormat="1" applyFont="1" applyFill="1" applyBorder="1" applyAlignment="1" applyProtection="1">
      <alignment vertical="center" wrapText="1"/>
    </xf>
    <xf numFmtId="0" fontId="38" fillId="2" borderId="0" xfId="36" applyFont="1" applyFill="1" applyBorder="1" applyAlignment="1" applyProtection="1">
      <alignment horizontal="left" vertical="center" wrapText="1"/>
    </xf>
    <xf numFmtId="0" fontId="38" fillId="2" borderId="0" xfId="36" applyFont="1" applyFill="1" applyBorder="1" applyAlignment="1" applyProtection="1">
      <alignment horizontal="center" vertical="center" wrapText="1"/>
    </xf>
    <xf numFmtId="183" fontId="6" fillId="2" borderId="0" xfId="0" applyNumberFormat="1" applyFont="1" applyFill="1" applyAlignment="1">
      <alignment horizontal="center" vertical="center" wrapText="1"/>
    </xf>
    <xf numFmtId="0" fontId="12" fillId="2" borderId="0" xfId="0" applyFont="1" applyFill="1" applyAlignment="1">
      <alignment horizontal="center" vertical="center" wrapText="1"/>
    </xf>
    <xf numFmtId="183" fontId="9" fillId="2" borderId="0" xfId="0" applyNumberFormat="1" applyFont="1" applyFill="1" applyAlignment="1">
      <alignment horizontal="center" vertical="center"/>
    </xf>
    <xf numFmtId="183" fontId="9" fillId="2" borderId="0" xfId="0" applyNumberFormat="1" applyFont="1" applyFill="1" applyAlignment="1">
      <alignment horizontal="left" vertical="center"/>
    </xf>
    <xf numFmtId="179" fontId="8" fillId="2" borderId="4" xfId="281" applyNumberFormat="1" applyFont="1" applyFill="1" applyBorder="1" applyAlignment="1" applyProtection="1">
      <alignment horizontal="center" vertical="center" wrapText="1"/>
    </xf>
    <xf numFmtId="179" fontId="8" fillId="2" borderId="5" xfId="281" applyNumberFormat="1" applyFont="1" applyFill="1" applyBorder="1" applyAlignment="1" applyProtection="1">
      <alignment horizontal="center" vertical="center" wrapText="1"/>
    </xf>
    <xf numFmtId="183" fontId="8" fillId="2" borderId="1" xfId="281" applyNumberFormat="1" applyFont="1" applyFill="1" applyBorder="1" applyAlignment="1" applyProtection="1">
      <alignment horizontal="center" vertical="center" wrapText="1"/>
    </xf>
    <xf numFmtId="177" fontId="8" fillId="2" borderId="1" xfId="0" applyNumberFormat="1" applyFont="1" applyFill="1" applyBorder="1" applyAlignment="1">
      <alignment horizontal="left" vertical="center" wrapText="1"/>
    </xf>
    <xf numFmtId="0" fontId="9" fillId="2" borderId="1" xfId="0" applyNumberFormat="1" applyFont="1" applyFill="1" applyBorder="1" applyAlignment="1">
      <alignment horizontal="center" vertical="center"/>
    </xf>
    <xf numFmtId="177" fontId="9" fillId="2" borderId="1" xfId="0" applyNumberFormat="1" applyFont="1" applyFill="1" applyBorder="1" applyAlignment="1" applyProtection="1">
      <alignment horizontal="left" vertical="center" wrapText="1"/>
    </xf>
    <xf numFmtId="179" fontId="9" fillId="2" borderId="1" xfId="90" applyNumberFormat="1" applyFont="1" applyFill="1" applyBorder="1" applyAlignment="1">
      <alignment horizontal="left" vertical="center" wrapText="1"/>
    </xf>
    <xf numFmtId="177" fontId="9" fillId="2" borderId="1" xfId="0" applyNumberFormat="1" applyFont="1" applyFill="1" applyBorder="1" applyAlignment="1" applyProtection="1">
      <alignment horizontal="center" vertical="center" wrapText="1"/>
    </xf>
    <xf numFmtId="179" fontId="9" fillId="2" borderId="1" xfId="174" applyNumberFormat="1" applyFont="1" applyFill="1" applyBorder="1" applyAlignment="1" applyProtection="1">
      <alignment horizontal="center" vertical="center" wrapText="1"/>
    </xf>
    <xf numFmtId="0" fontId="21" fillId="2" borderId="0" xfId="0" applyFont="1" applyFill="1" applyAlignment="1">
      <alignment vertical="center" wrapText="1"/>
    </xf>
    <xf numFmtId="183" fontId="9" fillId="2" borderId="0" xfId="0" applyNumberFormat="1" applyFont="1" applyFill="1" applyAlignment="1">
      <alignment vertical="center"/>
    </xf>
    <xf numFmtId="177" fontId="8" fillId="2" borderId="1" xfId="0" applyNumberFormat="1" applyFont="1" applyFill="1" applyBorder="1" applyAlignment="1">
      <alignment vertical="center" wrapText="1"/>
    </xf>
    <xf numFmtId="0" fontId="4" fillId="2" borderId="0" xfId="0" applyFont="1" applyFill="1" applyAlignment="1">
      <alignment horizontal="left"/>
    </xf>
    <xf numFmtId="0" fontId="8" fillId="2" borderId="0" xfId="0" applyFont="1" applyFill="1" applyBorder="1" applyAlignment="1">
      <alignment horizontal="center" vertical="center" wrapText="1"/>
    </xf>
    <xf numFmtId="49" fontId="8" fillId="2" borderId="0" xfId="0" applyNumberFormat="1" applyFont="1" applyFill="1" applyBorder="1" applyAlignment="1">
      <alignment horizontal="center" vertical="center" wrapText="1"/>
    </xf>
    <xf numFmtId="0" fontId="9" fillId="2" borderId="0"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179" fontId="8" fillId="2" borderId="1" xfId="0" applyNumberFormat="1" applyFont="1" applyFill="1" applyBorder="1" applyAlignment="1" applyProtection="1">
      <alignment horizontal="left" vertical="center" wrapText="1"/>
    </xf>
    <xf numFmtId="0" fontId="9" fillId="2" borderId="1" xfId="107" applyFont="1" applyFill="1" applyBorder="1" applyAlignment="1">
      <alignment horizontal="left" vertical="center" wrapText="1"/>
    </xf>
    <xf numFmtId="177" fontId="9" fillId="2" borderId="1" xfId="191" applyNumberFormat="1" applyFont="1" applyFill="1" applyBorder="1" applyAlignment="1">
      <alignment horizontal="left" vertical="center" wrapText="1"/>
    </xf>
    <xf numFmtId="0" fontId="9" fillId="2" borderId="1" xfId="191" applyFont="1" applyFill="1" applyBorder="1" applyAlignment="1">
      <alignment horizontal="center" vertical="center" wrapText="1"/>
    </xf>
    <xf numFmtId="179" fontId="9" fillId="2" borderId="1" xfId="0" applyNumberFormat="1" applyFont="1" applyFill="1" applyBorder="1" applyAlignment="1">
      <alignment horizontal="left" vertical="center" wrapText="1"/>
    </xf>
    <xf numFmtId="0" fontId="12" fillId="2" borderId="0" xfId="0" applyFont="1" applyFill="1" applyAlignment="1">
      <alignment vertical="center" wrapText="1"/>
    </xf>
    <xf numFmtId="0" fontId="13" fillId="2" borderId="0" xfId="0" applyFont="1" applyFill="1" applyAlignment="1">
      <alignment vertical="center" wrapText="1"/>
    </xf>
    <xf numFmtId="0" fontId="4" fillId="2" borderId="0" xfId="0" applyNumberFormat="1" applyFont="1" applyFill="1" applyAlignment="1">
      <alignment horizontal="center" vertical="center" wrapText="1"/>
    </xf>
    <xf numFmtId="0" fontId="0" fillId="2" borderId="0" xfId="0" applyFont="1" applyFill="1" applyAlignment="1">
      <alignment horizontal="center" vertical="center" wrapText="1"/>
    </xf>
    <xf numFmtId="0" fontId="1" fillId="2" borderId="0" xfId="0" applyFont="1" applyFill="1" applyAlignment="1">
      <alignment horizontal="center" vertical="center" wrapText="1"/>
    </xf>
    <xf numFmtId="49" fontId="1"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1" xfId="0" applyFont="1" applyFill="1" applyBorder="1" applyAlignment="1" applyProtection="1">
      <alignment horizontal="center" vertical="center" wrapText="1"/>
    </xf>
    <xf numFmtId="0" fontId="0" fillId="2" borderId="0" xfId="0" applyFont="1" applyFill="1" applyAlignment="1">
      <alignment horizontal="center" vertical="center"/>
    </xf>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0" fillId="2" borderId="0" xfId="0" applyFont="1" applyFill="1" applyAlignment="1">
      <alignment horizontal="center"/>
    </xf>
    <xf numFmtId="0" fontId="0" fillId="2" borderId="0" xfId="0" applyFont="1" applyFill="1" applyAlignment="1">
      <alignment wrapText="1"/>
    </xf>
    <xf numFmtId="0" fontId="0" fillId="2" borderId="0" xfId="0" applyFont="1" applyFill="1" applyAlignment="1">
      <alignment horizontal="center" wrapText="1"/>
    </xf>
    <xf numFmtId="0" fontId="1" fillId="2" borderId="0" xfId="0" applyFont="1" applyFill="1" applyAlignment="1">
      <alignment wrapText="1"/>
    </xf>
    <xf numFmtId="0" fontId="1" fillId="2" borderId="0" xfId="0" applyFont="1" applyFill="1" applyAlignment="1">
      <alignment horizontal="center" wrapText="1"/>
    </xf>
    <xf numFmtId="0" fontId="4" fillId="2" borderId="5" xfId="0" applyFont="1" applyFill="1" applyBorder="1" applyAlignment="1">
      <alignment horizontal="center" vertical="center" wrapText="1"/>
    </xf>
    <xf numFmtId="0" fontId="1" fillId="2" borderId="8" xfId="0" applyFont="1" applyFill="1" applyBorder="1" applyAlignment="1">
      <alignment horizontal="center" wrapText="1"/>
    </xf>
    <xf numFmtId="0" fontId="1" fillId="2" borderId="0" xfId="0" applyFont="1" applyFill="1" applyBorder="1" applyAlignment="1">
      <alignment horizontal="center" vertical="center" wrapText="1"/>
    </xf>
    <xf numFmtId="0" fontId="0" fillId="2" borderId="0" xfId="0" applyFont="1" applyFill="1" applyAlignment="1">
      <alignment vertical="center" wrapText="1"/>
    </xf>
    <xf numFmtId="183" fontId="0" fillId="2" borderId="0" xfId="0" applyNumberFormat="1" applyFont="1" applyFill="1" applyAlignment="1">
      <alignment vertical="center" wrapText="1"/>
    </xf>
    <xf numFmtId="0" fontId="1" fillId="2" borderId="0" xfId="0" applyFont="1" applyFill="1" applyAlignment="1">
      <alignment vertical="center" wrapText="1"/>
    </xf>
    <xf numFmtId="183" fontId="1" fillId="2" borderId="0" xfId="0" applyNumberFormat="1" applyFont="1" applyFill="1" applyAlignment="1">
      <alignment vertical="center" wrapText="1"/>
    </xf>
    <xf numFmtId="0" fontId="1" fillId="2" borderId="7" xfId="0" applyFont="1" applyFill="1" applyBorder="1" applyAlignment="1">
      <alignment horizontal="center" vertical="center" wrapText="1"/>
    </xf>
    <xf numFmtId="183" fontId="1" fillId="2" borderId="0" xfId="0" applyNumberFormat="1" applyFont="1" applyFill="1" applyAlignment="1">
      <alignment horizontal="center" vertical="center" wrapText="1"/>
    </xf>
    <xf numFmtId="183" fontId="9" fillId="2" borderId="1" xfId="0" applyNumberFormat="1" applyFont="1" applyFill="1" applyBorder="1" applyAlignment="1">
      <alignment vertical="center" wrapText="1"/>
    </xf>
    <xf numFmtId="49" fontId="14" fillId="2" borderId="1" xfId="0" applyNumberFormat="1" applyFont="1" applyFill="1" applyBorder="1" applyAlignment="1">
      <alignment horizontal="center" vertical="center" wrapText="1"/>
    </xf>
    <xf numFmtId="0" fontId="9" fillId="2" borderId="1" xfId="64" applyFont="1" applyFill="1" applyBorder="1" applyAlignment="1" applyProtection="1">
      <alignment horizontal="left" vertical="center" wrapText="1"/>
    </xf>
    <xf numFmtId="0" fontId="9" fillId="2" borderId="1" xfId="64" applyFont="1" applyFill="1" applyBorder="1" applyAlignment="1" applyProtection="1">
      <alignment vertical="center" wrapText="1"/>
    </xf>
    <xf numFmtId="49" fontId="9" fillId="2" borderId="1" xfId="0" applyNumberFormat="1" applyFont="1" applyFill="1" applyBorder="1" applyAlignment="1">
      <alignment vertical="center" wrapText="1" shrinkToFit="1"/>
    </xf>
    <xf numFmtId="186" fontId="14" fillId="2" borderId="1" xfId="0" applyNumberFormat="1" applyFont="1" applyFill="1" applyBorder="1" applyAlignment="1">
      <alignment horizontal="center" vertical="center" wrapText="1" shrinkToFit="1"/>
    </xf>
    <xf numFmtId="181" fontId="9" fillId="2" borderId="1" xfId="174" applyNumberFormat="1" applyFont="1" applyFill="1" applyBorder="1" applyAlignment="1">
      <alignment horizontal="left" vertical="center" wrapText="1"/>
    </xf>
    <xf numFmtId="179" fontId="9" fillId="2" borderId="1" xfId="265" applyNumberFormat="1" applyFont="1" applyFill="1" applyBorder="1" applyAlignment="1" applyProtection="1">
      <alignment horizontal="center" vertical="center" wrapText="1"/>
    </xf>
    <xf numFmtId="179" fontId="9" fillId="2" borderId="1" xfId="137" applyNumberFormat="1" applyFont="1" applyFill="1" applyBorder="1" applyAlignment="1">
      <alignment vertical="center" wrapText="1"/>
    </xf>
    <xf numFmtId="0" fontId="9" fillId="0" borderId="1" xfId="0" applyFont="1" applyFill="1" applyBorder="1" applyAlignment="1">
      <alignment vertical="center" wrapText="1"/>
    </xf>
    <xf numFmtId="188" fontId="9" fillId="2" borderId="1" xfId="0" applyNumberFormat="1" applyFont="1" applyFill="1" applyBorder="1" applyAlignment="1">
      <alignment horizontal="left" vertical="center" wrapText="1"/>
    </xf>
    <xf numFmtId="186" fontId="9" fillId="2" borderId="1" xfId="36" applyNumberFormat="1" applyFont="1" applyFill="1" applyBorder="1" applyAlignment="1" applyProtection="1">
      <alignment horizontal="center" vertical="center" wrapText="1"/>
    </xf>
    <xf numFmtId="177" fontId="9" fillId="2" borderId="1" xfId="52" applyNumberFormat="1" applyFont="1" applyFill="1" applyBorder="1" applyAlignment="1">
      <alignment horizontal="left" vertical="center" wrapText="1"/>
    </xf>
    <xf numFmtId="184" fontId="9" fillId="2" borderId="1" xfId="0" applyNumberFormat="1" applyFont="1" applyFill="1" applyBorder="1" applyAlignment="1">
      <alignment horizontal="center" vertical="center" wrapText="1"/>
    </xf>
    <xf numFmtId="57" fontId="9" fillId="2" borderId="1" xfId="0" applyNumberFormat="1" applyFont="1" applyFill="1" applyBorder="1" applyAlignment="1">
      <alignment horizontal="center" vertical="center" wrapText="1"/>
    </xf>
    <xf numFmtId="49" fontId="9" fillId="2" borderId="1" xfId="265" applyNumberFormat="1" applyFont="1" applyFill="1" applyBorder="1" applyAlignment="1">
      <alignment horizontal="left" vertical="center" wrapText="1"/>
    </xf>
    <xf numFmtId="177" fontId="9" fillId="2" borderId="1" xfId="52" applyNumberFormat="1" applyFont="1" applyFill="1" applyBorder="1" applyAlignment="1">
      <alignment horizontal="center" vertical="center"/>
    </xf>
    <xf numFmtId="179" fontId="8" fillId="2" borderId="1" xfId="52" applyNumberFormat="1" applyFont="1" applyFill="1" applyBorder="1" applyAlignment="1">
      <alignment horizontal="center" vertical="center" wrapText="1"/>
    </xf>
    <xf numFmtId="177" fontId="9" fillId="2" borderId="1" xfId="271" applyNumberFormat="1" applyFont="1" applyFill="1" applyBorder="1" applyAlignment="1">
      <alignment vertical="center" wrapText="1"/>
    </xf>
    <xf numFmtId="177" fontId="9" fillId="2" borderId="1" xfId="271" applyNumberFormat="1" applyFont="1" applyFill="1" applyBorder="1" applyAlignment="1">
      <alignment horizontal="left" vertical="center" wrapText="1"/>
    </xf>
    <xf numFmtId="0" fontId="9" fillId="2" borderId="1" xfId="0" applyFont="1" applyFill="1" applyBorder="1" applyAlignment="1">
      <alignment horizontal="center" vertical="center" wrapText="1" shrinkToFit="1"/>
    </xf>
    <xf numFmtId="0" fontId="9" fillId="2" borderId="1" xfId="271" applyNumberFormat="1" applyFont="1" applyFill="1" applyBorder="1" applyAlignment="1">
      <alignment horizontal="left" vertical="center" wrapText="1"/>
    </xf>
    <xf numFmtId="182" fontId="9" fillId="2" borderId="1" xfId="170" applyNumberFormat="1" applyFont="1" applyFill="1" applyBorder="1" applyAlignment="1">
      <alignment horizontal="left" vertical="center" wrapText="1"/>
    </xf>
    <xf numFmtId="0" fontId="9" fillId="0" borderId="1" xfId="0" applyFont="1" applyBorder="1" applyAlignment="1">
      <alignment vertical="center"/>
    </xf>
    <xf numFmtId="0" fontId="9" fillId="0" borderId="1" xfId="0" applyFont="1" applyBorder="1" applyAlignment="1">
      <alignment vertical="center" wrapText="1"/>
    </xf>
    <xf numFmtId="0" fontId="9" fillId="2" borderId="0" xfId="0" applyFont="1" applyFill="1" applyBorder="1" applyAlignment="1">
      <alignment horizontal="center" vertical="center" wrapText="1"/>
    </xf>
    <xf numFmtId="0" fontId="9" fillId="2" borderId="0" xfId="0" applyFont="1" applyFill="1" applyBorder="1" applyAlignment="1">
      <alignment vertical="center" wrapText="1"/>
    </xf>
    <xf numFmtId="179" fontId="9" fillId="2" borderId="0" xfId="0" applyNumberFormat="1" applyFont="1" applyFill="1" applyBorder="1" applyAlignment="1">
      <alignment horizontal="center" vertical="center"/>
    </xf>
    <xf numFmtId="179" fontId="9" fillId="2" borderId="0" xfId="0" applyNumberFormat="1" applyFont="1" applyFill="1" applyBorder="1" applyAlignment="1">
      <alignment horizontal="left" vertical="center"/>
    </xf>
    <xf numFmtId="183" fontId="9" fillId="2" borderId="0" xfId="0" applyNumberFormat="1" applyFont="1" applyFill="1" applyBorder="1" applyAlignment="1">
      <alignment horizontal="center" vertical="center"/>
    </xf>
    <xf numFmtId="179" fontId="9" fillId="2" borderId="0" xfId="0" applyNumberFormat="1" applyFont="1" applyFill="1" applyBorder="1" applyAlignment="1">
      <alignment vertical="center"/>
    </xf>
    <xf numFmtId="179" fontId="4" fillId="2" borderId="0" xfId="0" applyNumberFormat="1" applyFont="1" applyFill="1" applyBorder="1" applyAlignment="1">
      <alignment horizontal="center" vertical="center"/>
    </xf>
    <xf numFmtId="179" fontId="4" fillId="2" borderId="0" xfId="0" applyNumberFormat="1" applyFont="1" applyFill="1" applyBorder="1" applyAlignment="1">
      <alignment horizontal="center" vertical="center" wrapText="1"/>
    </xf>
    <xf numFmtId="0" fontId="4" fillId="2" borderId="0" xfId="0" applyFont="1" applyFill="1" applyBorder="1" applyAlignment="1">
      <alignment horizontal="center" vertical="center" wrapText="1"/>
    </xf>
    <xf numFmtId="0" fontId="8" fillId="2" borderId="0" xfId="0" applyFont="1" applyFill="1"/>
    <xf numFmtId="179" fontId="4" fillId="2" borderId="0" xfId="0" applyNumberFormat="1" applyFont="1" applyFill="1" applyAlignment="1">
      <alignment horizontal="left" vertical="center" wrapText="1"/>
    </xf>
    <xf numFmtId="0" fontId="8" fillId="2" borderId="0" xfId="0" applyFont="1" applyFill="1" applyAlignment="1">
      <alignment vertical="center" wrapText="1"/>
    </xf>
    <xf numFmtId="179" fontId="9" fillId="2" borderId="0" xfId="0" applyNumberFormat="1" applyFont="1" applyFill="1" applyAlignment="1">
      <alignment horizontal="left" vertical="center" wrapText="1"/>
    </xf>
    <xf numFmtId="179" fontId="8" fillId="2" borderId="1" xfId="281" applyNumberFormat="1" applyFont="1" applyFill="1" applyBorder="1" applyAlignment="1" applyProtection="1">
      <alignment horizontal="left" vertical="center" wrapText="1"/>
    </xf>
    <xf numFmtId="0" fontId="9" fillId="2" borderId="1" xfId="36" applyFont="1" applyFill="1" applyBorder="1" applyAlignment="1" applyProtection="1">
      <alignment vertical="center" wrapText="1"/>
      <protection locked="0"/>
    </xf>
    <xf numFmtId="181" fontId="9" fillId="2" borderId="1" xfId="239" applyNumberFormat="1" applyFont="1" applyFill="1" applyBorder="1" applyAlignment="1">
      <alignment vertical="center" wrapText="1"/>
    </xf>
    <xf numFmtId="181" fontId="9" fillId="2" borderId="1" xfId="90" applyNumberFormat="1" applyFont="1" applyFill="1" applyBorder="1" applyAlignment="1">
      <alignment vertical="center" wrapText="1"/>
    </xf>
    <xf numFmtId="0" fontId="9" fillId="2" borderId="1" xfId="36" applyNumberFormat="1" applyFont="1" applyFill="1" applyBorder="1" applyAlignment="1">
      <alignment vertical="center" wrapText="1"/>
    </xf>
    <xf numFmtId="179" fontId="9" fillId="2" borderId="1" xfId="270" applyNumberFormat="1" applyFont="1" applyFill="1" applyBorder="1" applyAlignment="1">
      <alignment vertical="center" wrapText="1"/>
    </xf>
    <xf numFmtId="187" fontId="9" fillId="2" borderId="1" xfId="270" applyNumberFormat="1" applyFont="1" applyFill="1" applyBorder="1" applyAlignment="1">
      <alignment horizontal="center" vertical="center" wrapText="1"/>
    </xf>
    <xf numFmtId="185" fontId="9" fillId="2" borderId="1" xfId="0" applyNumberFormat="1" applyFont="1" applyFill="1" applyBorder="1" applyAlignment="1">
      <alignment vertical="center" wrapText="1"/>
    </xf>
    <xf numFmtId="180" fontId="9" fillId="2" borderId="1" xfId="0" applyNumberFormat="1" applyFont="1" applyFill="1" applyBorder="1" applyAlignment="1">
      <alignment vertical="center" wrapText="1"/>
    </xf>
    <xf numFmtId="179" fontId="9" fillId="2" borderId="0" xfId="0" applyNumberFormat="1" applyFont="1" applyFill="1" applyAlignment="1">
      <alignment vertical="center"/>
    </xf>
    <xf numFmtId="179" fontId="9" fillId="2" borderId="1" xfId="36" applyNumberFormat="1" applyFont="1" applyFill="1" applyBorder="1" applyAlignment="1" applyProtection="1">
      <alignment vertical="center" wrapText="1"/>
    </xf>
    <xf numFmtId="179" fontId="9" fillId="2" borderId="1" xfId="90" applyNumberFormat="1" applyFont="1" applyFill="1" applyBorder="1" applyAlignment="1">
      <alignment vertical="center" wrapText="1"/>
    </xf>
    <xf numFmtId="0" fontId="9" fillId="2" borderId="1" xfId="91" applyNumberFormat="1" applyFont="1" applyFill="1" applyBorder="1" applyAlignment="1">
      <alignment vertical="center" wrapText="1"/>
    </xf>
    <xf numFmtId="179" fontId="9" fillId="2" borderId="0" xfId="0" applyNumberFormat="1" applyFont="1" applyFill="1" applyAlignment="1">
      <alignment horizontal="left" vertical="center"/>
    </xf>
    <xf numFmtId="179" fontId="8" fillId="2" borderId="1" xfId="0" applyNumberFormat="1" applyFont="1" applyFill="1" applyBorder="1" applyAlignment="1" applyProtection="1">
      <alignment vertical="center" wrapText="1"/>
    </xf>
    <xf numFmtId="179" fontId="8" fillId="2" borderId="1" xfId="90" applyNumberFormat="1" applyFont="1" applyFill="1" applyBorder="1" applyAlignment="1">
      <alignment horizontal="center" vertical="center" wrapText="1"/>
    </xf>
    <xf numFmtId="0" fontId="6" fillId="2" borderId="0" xfId="0" applyFont="1" applyFill="1" applyAlignment="1">
      <alignment horizontal="left" vertical="center" wrapText="1"/>
    </xf>
    <xf numFmtId="179" fontId="9" fillId="0" borderId="1" xfId="0" applyNumberFormat="1" applyFont="1" applyFill="1" applyBorder="1" applyAlignment="1">
      <alignment horizontal="left" vertical="center" wrapText="1"/>
    </xf>
    <xf numFmtId="177" fontId="9" fillId="0" borderId="1" xfId="0" applyNumberFormat="1" applyFont="1" applyFill="1" applyBorder="1" applyAlignment="1">
      <alignment vertical="center" wrapText="1"/>
    </xf>
    <xf numFmtId="0" fontId="9" fillId="2" borderId="1" xfId="119" applyNumberFormat="1" applyFont="1" applyFill="1" applyBorder="1" applyAlignment="1">
      <alignment horizontal="left" vertical="center" wrapText="1"/>
    </xf>
    <xf numFmtId="0" fontId="9" fillId="2" borderId="1" xfId="119" applyNumberFormat="1" applyFont="1" applyFill="1" applyBorder="1" applyAlignment="1">
      <alignment horizontal="center" vertical="center" wrapText="1"/>
    </xf>
    <xf numFmtId="0" fontId="1" fillId="2" borderId="0" xfId="0" applyFont="1" applyFill="1" applyAlignment="1">
      <alignment vertical="center"/>
    </xf>
    <xf numFmtId="0" fontId="4" fillId="2" borderId="1" xfId="0" applyFont="1" applyFill="1" applyBorder="1"/>
    <xf numFmtId="0" fontId="4" fillId="2" borderId="1" xfId="271" applyFont="1" applyFill="1" applyBorder="1" applyAlignment="1">
      <alignment horizontal="center" vertical="center" wrapText="1"/>
    </xf>
    <xf numFmtId="0" fontId="9" fillId="2" borderId="1" xfId="0" applyFont="1" applyFill="1" applyBorder="1" applyAlignment="1">
      <alignment vertical="center" wrapText="1" shrinkToFit="1"/>
    </xf>
    <xf numFmtId="177" fontId="9" fillId="2" borderId="1" xfId="0" applyNumberFormat="1" applyFont="1" applyFill="1" applyBorder="1" applyAlignment="1">
      <alignment horizontal="center" vertical="center" wrapText="1" shrinkToFit="1"/>
    </xf>
    <xf numFmtId="0" fontId="9" fillId="2" borderId="2" xfId="0" applyFont="1" applyFill="1" applyBorder="1" applyAlignment="1">
      <alignment vertical="center" wrapText="1"/>
    </xf>
    <xf numFmtId="0" fontId="9" fillId="2" borderId="2"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2" borderId="1" xfId="281" applyFont="1" applyFill="1" applyBorder="1" applyAlignment="1">
      <alignment horizontal="center" vertical="center" wrapText="1"/>
    </xf>
    <xf numFmtId="0" fontId="9" fillId="2" borderId="1" xfId="275" applyFont="1" applyFill="1" applyBorder="1" applyAlignment="1">
      <alignment vertical="center" wrapText="1"/>
    </xf>
    <xf numFmtId="0" fontId="9" fillId="2" borderId="1" xfId="268" applyFont="1" applyFill="1" applyBorder="1" applyAlignment="1">
      <alignment vertical="center" wrapText="1"/>
    </xf>
    <xf numFmtId="179" fontId="9" fillId="2" borderId="1" xfId="281" applyNumberFormat="1" applyFont="1" applyFill="1" applyBorder="1" applyAlignment="1">
      <alignment vertical="center" wrapText="1"/>
    </xf>
    <xf numFmtId="49" fontId="9" fillId="2" borderId="1" xfId="0" applyNumberFormat="1" applyFont="1" applyFill="1" applyBorder="1" applyAlignment="1">
      <alignment vertical="center" wrapText="1"/>
    </xf>
    <xf numFmtId="0" fontId="9" fillId="2" borderId="2" xfId="0" applyNumberFormat="1" applyFont="1" applyFill="1" applyBorder="1" applyAlignment="1">
      <alignment horizontal="center" vertical="center" wrapText="1"/>
    </xf>
    <xf numFmtId="177" fontId="9" fillId="2" borderId="2" xfId="0" applyNumberFormat="1" applyFont="1" applyFill="1" applyBorder="1" applyAlignment="1">
      <alignment horizontal="center" vertical="center" wrapText="1"/>
    </xf>
    <xf numFmtId="179" fontId="9" fillId="2" borderId="1" xfId="153" applyNumberFormat="1" applyFont="1" applyFill="1" applyBorder="1" applyAlignment="1" applyProtection="1">
      <alignment vertical="center" wrapText="1"/>
    </xf>
    <xf numFmtId="177" fontId="9" fillId="2" borderId="1" xfId="227" applyNumberFormat="1" applyFont="1" applyFill="1" applyBorder="1" applyAlignment="1">
      <alignment vertical="center" wrapText="1"/>
    </xf>
    <xf numFmtId="179" fontId="9" fillId="3" borderId="1" xfId="0" applyNumberFormat="1" applyFont="1" applyFill="1" applyBorder="1" applyAlignment="1" applyProtection="1">
      <alignment horizontal="center" vertical="center" wrapText="1"/>
    </xf>
    <xf numFmtId="177" fontId="9" fillId="3" borderId="1" xfId="0" applyNumberFormat="1" applyFont="1" applyFill="1" applyBorder="1" applyAlignment="1">
      <alignment horizontal="center" vertical="center" wrapText="1"/>
    </xf>
    <xf numFmtId="177" fontId="9" fillId="3" borderId="1" xfId="0" applyNumberFormat="1" applyFont="1" applyFill="1" applyBorder="1" applyAlignment="1">
      <alignment horizontal="center" vertical="center"/>
    </xf>
    <xf numFmtId="177" fontId="9" fillId="2" borderId="1" xfId="191" applyNumberFormat="1" applyFont="1" applyFill="1" applyBorder="1" applyAlignment="1">
      <alignment vertical="center" wrapText="1"/>
    </xf>
    <xf numFmtId="0" fontId="9" fillId="3" borderId="1" xfId="0" applyFont="1" applyFill="1" applyBorder="1" applyAlignment="1">
      <alignment horizontal="center" vertical="center" wrapText="1"/>
    </xf>
    <xf numFmtId="184" fontId="9" fillId="2" borderId="1" xfId="0" applyNumberFormat="1" applyFont="1" applyFill="1" applyBorder="1" applyAlignment="1">
      <alignment horizontal="center" vertical="center"/>
    </xf>
    <xf numFmtId="177" fontId="9" fillId="2" borderId="1" xfId="281" applyNumberFormat="1" applyFont="1" applyFill="1" applyBorder="1" applyAlignment="1">
      <alignment horizontal="center" vertical="center" wrapText="1"/>
    </xf>
    <xf numFmtId="0" fontId="9" fillId="2" borderId="1" xfId="52" applyFont="1" applyFill="1" applyBorder="1" applyAlignment="1">
      <alignment horizontal="center" vertical="center" wrapText="1"/>
    </xf>
    <xf numFmtId="182" fontId="9" fillId="2" borderId="1" xfId="0" applyNumberFormat="1" applyFont="1" applyFill="1" applyBorder="1" applyAlignment="1">
      <alignment vertical="center" wrapText="1"/>
    </xf>
    <xf numFmtId="179" fontId="8" fillId="2" borderId="0" xfId="0" applyNumberFormat="1" applyFont="1" applyFill="1" applyAlignment="1">
      <alignment horizontal="center" vertical="center" wrapText="1"/>
    </xf>
    <xf numFmtId="179" fontId="8" fillId="2" borderId="1" xfId="197" applyNumberFormat="1" applyFont="1" applyFill="1" applyBorder="1" applyAlignment="1">
      <alignment horizontal="center" vertical="center" wrapText="1"/>
    </xf>
    <xf numFmtId="179" fontId="8" fillId="2" borderId="1" xfId="0" applyNumberFormat="1" applyFont="1" applyFill="1" applyBorder="1" applyAlignment="1">
      <alignment horizontal="center"/>
    </xf>
    <xf numFmtId="0" fontId="9" fillId="2" borderId="1" xfId="0" applyFont="1" applyFill="1" applyBorder="1" applyAlignment="1">
      <alignment horizontal="left" vertical="center" wrapText="1" shrinkToFit="1"/>
    </xf>
    <xf numFmtId="49" fontId="4" fillId="2" borderId="1" xfId="0" applyNumberFormat="1" applyFont="1" applyFill="1" applyBorder="1" applyAlignment="1">
      <alignment horizontal="center" vertical="center" wrapText="1"/>
    </xf>
    <xf numFmtId="0" fontId="4" fillId="2" borderId="1" xfId="174" applyFont="1" applyFill="1" applyBorder="1" applyAlignment="1">
      <alignment horizontal="center" vertical="center" wrapText="1"/>
    </xf>
    <xf numFmtId="179" fontId="9" fillId="2" borderId="1" xfId="25" applyNumberFormat="1" applyFont="1" applyFill="1" applyBorder="1" applyAlignment="1">
      <alignment vertical="center" wrapText="1"/>
    </xf>
    <xf numFmtId="0" fontId="9" fillId="2" borderId="1" xfId="110" applyFont="1" applyFill="1" applyBorder="1" applyAlignment="1">
      <alignment vertical="center" wrapText="1"/>
    </xf>
    <xf numFmtId="0" fontId="9" fillId="2" borderId="1" xfId="110" applyFont="1" applyFill="1" applyBorder="1" applyAlignment="1">
      <alignment horizontal="left" vertical="center" wrapText="1"/>
    </xf>
    <xf numFmtId="183" fontId="9" fillId="2" borderId="1" xfId="36" applyNumberFormat="1" applyFont="1" applyFill="1" applyBorder="1" applyAlignment="1" applyProtection="1">
      <alignment horizontal="left" vertical="center" wrapText="1"/>
    </xf>
    <xf numFmtId="1" fontId="9" fillId="2" borderId="1" xfId="0" applyNumberFormat="1" applyFont="1" applyFill="1" applyBorder="1" applyAlignment="1">
      <alignment horizontal="center" vertical="center" wrapText="1"/>
    </xf>
    <xf numFmtId="1" fontId="9" fillId="2" borderId="1" xfId="281" applyNumberFormat="1" applyFont="1" applyFill="1" applyBorder="1" applyAlignment="1">
      <alignment horizontal="center" vertical="center" wrapText="1"/>
    </xf>
    <xf numFmtId="177" fontId="9" fillId="2" borderId="1" xfId="52" applyNumberFormat="1" applyFont="1" applyFill="1" applyBorder="1" applyAlignment="1">
      <alignment vertical="center" wrapText="1"/>
    </xf>
    <xf numFmtId="177" fontId="9" fillId="2" borderId="1" xfId="52" applyNumberFormat="1" applyFont="1" applyFill="1" applyBorder="1" applyAlignment="1">
      <alignment horizontal="center" vertical="center" wrapText="1"/>
    </xf>
    <xf numFmtId="179" fontId="9" fillId="2" borderId="1" xfId="64" applyNumberFormat="1" applyFont="1" applyFill="1" applyBorder="1" applyAlignment="1" applyProtection="1">
      <alignment horizontal="center" vertical="center" wrapText="1"/>
    </xf>
    <xf numFmtId="179" fontId="9" fillId="2" borderId="1" xfId="64" applyNumberFormat="1" applyFont="1" applyFill="1" applyBorder="1" applyAlignment="1">
      <alignment horizontal="center" vertical="center" wrapText="1"/>
    </xf>
    <xf numFmtId="0" fontId="9" fillId="2" borderId="1" xfId="110" applyFont="1" applyFill="1" applyBorder="1" applyAlignment="1">
      <alignment horizontal="center" vertical="center" wrapText="1"/>
    </xf>
    <xf numFmtId="49" fontId="9" fillId="2" borderId="1" xfId="119" applyNumberFormat="1" applyFont="1" applyFill="1" applyBorder="1" applyAlignment="1">
      <alignment vertical="center" wrapText="1"/>
    </xf>
    <xf numFmtId="0" fontId="1"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0" fontId="8" fillId="2" borderId="1" xfId="0" applyNumberFormat="1" applyFont="1" applyFill="1" applyBorder="1" applyAlignment="1" applyProtection="1">
      <alignment horizontal="left" vertical="center" wrapText="1"/>
    </xf>
    <xf numFmtId="0" fontId="1" fillId="2" borderId="1" xfId="174" applyNumberFormat="1" applyFont="1" applyFill="1" applyBorder="1" applyAlignment="1">
      <alignment horizontal="center" vertical="center" wrapText="1"/>
    </xf>
    <xf numFmtId="0" fontId="1" fillId="2" borderId="1" xfId="0" applyNumberFormat="1" applyFont="1" applyFill="1" applyBorder="1" applyAlignment="1" applyProtection="1">
      <alignment horizontal="center" vertical="center" wrapText="1"/>
    </xf>
    <xf numFmtId="0" fontId="9" fillId="2" borderId="1" xfId="53" applyFont="1" applyFill="1" applyBorder="1" applyAlignment="1" applyProtection="1">
      <alignment horizontal="left" vertical="center" wrapText="1"/>
    </xf>
    <xf numFmtId="0" fontId="9" fillId="2" borderId="1" xfId="53" applyFont="1" applyFill="1" applyBorder="1" applyAlignment="1" applyProtection="1">
      <alignment horizontal="center" vertical="center" wrapText="1"/>
    </xf>
    <xf numFmtId="49" fontId="9" fillId="2" borderId="1" xfId="119" applyNumberFormat="1" applyFont="1" applyFill="1" applyBorder="1" applyAlignment="1">
      <alignment horizontal="left" vertical="center" wrapText="1"/>
    </xf>
    <xf numFmtId="0" fontId="9" fillId="2" borderId="1" xfId="154" applyFont="1" applyFill="1" applyBorder="1" applyAlignment="1">
      <alignment horizontal="center" vertical="center" wrapText="1"/>
    </xf>
    <xf numFmtId="14" fontId="9" fillId="2" borderId="0" xfId="0" applyNumberFormat="1" applyFont="1" applyFill="1" applyAlignment="1">
      <alignment vertical="center" wrapText="1"/>
    </xf>
    <xf numFmtId="0" fontId="9" fillId="2" borderId="0" xfId="0" applyFont="1" applyFill="1" applyAlignment="1">
      <alignment horizontal="center"/>
    </xf>
    <xf numFmtId="0" fontId="32" fillId="2" borderId="0" xfId="0" applyFont="1" applyFill="1" applyAlignment="1">
      <alignment vertical="center" wrapText="1"/>
    </xf>
    <xf numFmtId="0" fontId="9" fillId="2" borderId="0" xfId="0" applyFont="1" applyFill="1" applyBorder="1" applyAlignment="1">
      <alignment horizontal="left" vertical="center" wrapText="1"/>
    </xf>
    <xf numFmtId="177" fontId="9" fillId="2" borderId="0" xfId="0" applyNumberFormat="1" applyFont="1" applyFill="1" applyAlignment="1">
      <alignment horizontal="left" vertical="center" wrapText="1"/>
    </xf>
    <xf numFmtId="177" fontId="9" fillId="2" borderId="0" xfId="0" applyNumberFormat="1" applyFont="1" applyFill="1" applyAlignment="1">
      <alignment vertical="center" wrapText="1"/>
    </xf>
    <xf numFmtId="0" fontId="40" fillId="2" borderId="0" xfId="0" applyFont="1" applyFill="1" applyAlignment="1">
      <alignment horizontal="left" vertical="center" wrapText="1"/>
    </xf>
    <xf numFmtId="0" fontId="40" fillId="2" borderId="0" xfId="0" applyFont="1" applyFill="1" applyAlignment="1">
      <alignment horizontal="center" vertical="center" wrapText="1"/>
    </xf>
    <xf numFmtId="49" fontId="9" fillId="2" borderId="0" xfId="0" applyNumberFormat="1" applyFont="1" applyFill="1" applyBorder="1" applyAlignment="1">
      <alignment horizontal="center" vertical="center" wrapText="1"/>
    </xf>
    <xf numFmtId="0" fontId="32" fillId="2" borderId="0" xfId="0" applyFont="1" applyFill="1" applyAlignment="1">
      <alignment horizontal="center" vertical="center" wrapText="1"/>
    </xf>
    <xf numFmtId="183" fontId="9" fillId="2" borderId="0" xfId="0" applyNumberFormat="1" applyFont="1" applyFill="1" applyAlignment="1">
      <alignment vertical="center" wrapText="1"/>
    </xf>
    <xf numFmtId="0" fontId="3" fillId="2" borderId="0" xfId="0" applyNumberFormat="1" applyFont="1" applyFill="1" applyBorder="1" applyAlignment="1">
      <alignment vertical="center" wrapText="1"/>
    </xf>
    <xf numFmtId="0" fontId="14" fillId="2" borderId="0" xfId="0" applyFont="1" applyFill="1" applyAlignment="1">
      <alignment vertical="center" wrapText="1"/>
    </xf>
    <xf numFmtId="0" fontId="7" fillId="2" borderId="0" xfId="0" applyFont="1" applyFill="1" applyAlignment="1">
      <alignment horizontal="center" vertical="center" wrapText="1"/>
    </xf>
    <xf numFmtId="179" fontId="8" fillId="2" borderId="3" xfId="0" applyNumberFormat="1" applyFont="1" applyFill="1" applyBorder="1" applyAlignment="1" applyProtection="1">
      <alignment horizontal="center" vertical="center" wrapText="1"/>
    </xf>
    <xf numFmtId="43" fontId="8" fillId="2" borderId="1" xfId="11" applyFont="1" applyFill="1" applyBorder="1" applyAlignment="1" applyProtection="1">
      <alignment horizontal="center" vertical="center" wrapText="1"/>
    </xf>
    <xf numFmtId="43" fontId="8" fillId="2" borderId="1" xfId="11" applyFont="1" applyFill="1" applyBorder="1" applyAlignment="1" applyProtection="1">
      <alignment vertical="center" wrapText="1"/>
    </xf>
    <xf numFmtId="0" fontId="8" fillId="2" borderId="1" xfId="36" applyFont="1" applyFill="1" applyBorder="1" applyAlignment="1" applyProtection="1">
      <alignment horizontal="left" vertical="center" wrapText="1"/>
    </xf>
    <xf numFmtId="179" fontId="9" fillId="0" borderId="1" xfId="137" applyNumberFormat="1" applyFont="1" applyFill="1" applyBorder="1" applyAlignment="1">
      <alignment horizontal="left" vertical="center" wrapText="1"/>
    </xf>
    <xf numFmtId="177" fontId="9" fillId="0" borderId="6" xfId="0" applyNumberFormat="1" applyFont="1" applyFill="1" applyBorder="1" applyAlignment="1">
      <alignment horizontal="center" vertical="center"/>
    </xf>
    <xf numFmtId="0" fontId="9" fillId="2" borderId="1" xfId="36" applyFont="1" applyFill="1" applyBorder="1" applyAlignment="1">
      <alignment vertical="center" wrapText="1"/>
    </xf>
    <xf numFmtId="0" fontId="9" fillId="2" borderId="1" xfId="52" applyFont="1" applyFill="1" applyBorder="1" applyAlignment="1">
      <alignment vertical="center" wrapText="1"/>
    </xf>
    <xf numFmtId="0" fontId="9" fillId="2" borderId="1" xfId="52" applyNumberFormat="1" applyFont="1" applyFill="1" applyBorder="1" applyAlignment="1">
      <alignment horizontal="center" vertical="center" wrapText="1"/>
    </xf>
    <xf numFmtId="178" fontId="9" fillId="2" borderId="1" xfId="0" applyNumberFormat="1" applyFont="1" applyFill="1" applyBorder="1" applyAlignment="1">
      <alignment horizontal="center" vertical="center" wrapText="1"/>
    </xf>
    <xf numFmtId="0" fontId="9" fillId="2" borderId="1" xfId="36" applyNumberFormat="1" applyFont="1" applyFill="1" applyBorder="1" applyAlignment="1">
      <alignment horizontal="left" vertical="center" wrapText="1"/>
    </xf>
    <xf numFmtId="177" fontId="8" fillId="2" borderId="3" xfId="0" applyNumberFormat="1" applyFont="1" applyFill="1" applyBorder="1" applyAlignment="1">
      <alignment horizontal="center" vertical="center" wrapText="1"/>
    </xf>
    <xf numFmtId="177" fontId="8" fillId="2" borderId="4" xfId="0" applyNumberFormat="1" applyFont="1" applyFill="1" applyBorder="1" applyAlignment="1">
      <alignment horizontal="center" vertical="center" wrapText="1"/>
    </xf>
    <xf numFmtId="177" fontId="8" fillId="2" borderId="2" xfId="0" applyNumberFormat="1" applyFont="1" applyFill="1" applyBorder="1" applyAlignment="1">
      <alignment horizontal="center" vertical="center" wrapText="1"/>
    </xf>
    <xf numFmtId="0" fontId="19" fillId="2" borderId="1" xfId="0" applyNumberFormat="1" applyFont="1" applyFill="1" applyBorder="1" applyAlignment="1">
      <alignment horizontal="center" vertical="center" wrapText="1"/>
    </xf>
    <xf numFmtId="0" fontId="19" fillId="2" borderId="3" xfId="0" applyFont="1" applyFill="1" applyBorder="1" applyAlignment="1">
      <alignment horizontal="center" vertical="center" wrapText="1"/>
    </xf>
    <xf numFmtId="177" fontId="8" fillId="2" borderId="6" xfId="0" applyNumberFormat="1" applyFont="1" applyFill="1" applyBorder="1" applyAlignment="1">
      <alignment horizontal="center" vertical="center" wrapText="1"/>
    </xf>
    <xf numFmtId="0" fontId="8" fillId="2" borderId="1" xfId="185" applyFont="1" applyFill="1" applyBorder="1" applyAlignment="1">
      <alignment horizontal="center" vertical="center" wrapText="1"/>
    </xf>
    <xf numFmtId="179" fontId="8" fillId="2" borderId="1" xfId="0" applyNumberFormat="1" applyFont="1" applyFill="1" applyBorder="1" applyAlignment="1">
      <alignment horizontal="left" vertical="center" wrapText="1"/>
    </xf>
    <xf numFmtId="187" fontId="9" fillId="2" borderId="1" xfId="119" applyNumberFormat="1" applyFont="1" applyFill="1" applyBorder="1" applyAlignment="1">
      <alignment vertical="center" wrapText="1"/>
    </xf>
    <xf numFmtId="0" fontId="9" fillId="2" borderId="0" xfId="0" applyNumberFormat="1" applyFont="1" applyFill="1" applyBorder="1" applyAlignment="1">
      <alignment vertical="center" wrapText="1"/>
    </xf>
    <xf numFmtId="49" fontId="8" fillId="2" borderId="1" xfId="0" applyNumberFormat="1" applyFont="1" applyFill="1" applyBorder="1" applyAlignment="1">
      <alignment vertical="center" wrapText="1"/>
    </xf>
    <xf numFmtId="0" fontId="8" fillId="2" borderId="1" xfId="0" applyFont="1" applyFill="1" applyBorder="1" applyAlignment="1">
      <alignment horizontal="left"/>
    </xf>
    <xf numFmtId="0" fontId="8" fillId="2" borderId="1" xfId="0" applyFont="1" applyFill="1" applyBorder="1" applyAlignment="1">
      <alignment horizontal="center"/>
    </xf>
    <xf numFmtId="49" fontId="9" fillId="2" borderId="1" xfId="52" applyNumberFormat="1" applyFont="1" applyFill="1" applyBorder="1" applyAlignment="1">
      <alignment horizontal="left" vertical="center" wrapText="1"/>
    </xf>
    <xf numFmtId="49" fontId="9" fillId="2" borderId="1" xfId="10" applyNumberFormat="1" applyFont="1" applyFill="1" applyBorder="1" applyAlignment="1">
      <alignment horizontal="center" vertical="center" wrapText="1"/>
    </xf>
    <xf numFmtId="187" fontId="9" fillId="2" borderId="1" xfId="119" applyNumberFormat="1" applyFont="1" applyFill="1" applyBorder="1" applyAlignment="1">
      <alignment horizontal="left" vertical="center" wrapText="1"/>
    </xf>
    <xf numFmtId="187" fontId="9" fillId="2" borderId="1" xfId="119" applyNumberFormat="1" applyFont="1" applyFill="1" applyBorder="1" applyAlignment="1">
      <alignment horizontal="center" vertical="center" wrapText="1"/>
    </xf>
    <xf numFmtId="179" fontId="9" fillId="2" borderId="1" xfId="174" applyNumberFormat="1" applyFont="1" applyFill="1" applyBorder="1" applyAlignment="1" applyProtection="1">
      <alignment horizontal="left" vertical="center" wrapText="1"/>
    </xf>
    <xf numFmtId="0" fontId="4" fillId="2" borderId="8" xfId="0" applyFont="1" applyFill="1" applyBorder="1" applyAlignment="1">
      <alignment horizontal="center" vertical="center" wrapText="1"/>
    </xf>
    <xf numFmtId="0" fontId="15" fillId="2" borderId="0" xfId="0" applyFont="1" applyFill="1" applyAlignment="1">
      <alignment vertical="center" wrapText="1"/>
    </xf>
    <xf numFmtId="0" fontId="4" fillId="2" borderId="2" xfId="0" applyFont="1" applyFill="1" applyBorder="1" applyAlignment="1" applyProtection="1">
      <alignment horizontal="center" vertical="center" wrapText="1"/>
    </xf>
    <xf numFmtId="0" fontId="15" fillId="2" borderId="0" xfId="0" applyFont="1" applyFill="1" applyAlignment="1">
      <alignment horizontal="center" vertical="center" wrapText="1"/>
    </xf>
    <xf numFmtId="0" fontId="4" fillId="2" borderId="6" xfId="0" applyFont="1" applyFill="1" applyBorder="1" applyAlignment="1" applyProtection="1">
      <alignment horizontal="center" vertical="center" wrapText="1"/>
    </xf>
    <xf numFmtId="0" fontId="1" fillId="2" borderId="1" xfId="0" applyFont="1" applyFill="1" applyBorder="1"/>
    <xf numFmtId="179" fontId="9" fillId="0" borderId="1" xfId="137" applyNumberFormat="1" applyFont="1" applyFill="1" applyBorder="1" applyAlignment="1">
      <alignment horizontal="center" vertical="center" wrapText="1"/>
    </xf>
    <xf numFmtId="0" fontId="9" fillId="2" borderId="1" xfId="0" applyNumberFormat="1" applyFont="1" applyFill="1" applyBorder="1" applyAlignment="1" applyProtection="1">
      <alignment horizontal="center" vertical="center"/>
    </xf>
    <xf numFmtId="0" fontId="9" fillId="2" borderId="1" xfId="174" applyFont="1" applyFill="1" applyBorder="1" applyAlignment="1">
      <alignment horizontal="center" vertical="center" wrapText="1"/>
    </xf>
    <xf numFmtId="0" fontId="9" fillId="0" borderId="1" xfId="0" applyFont="1" applyBorder="1" applyAlignment="1">
      <alignment horizontal="center" vertical="center"/>
    </xf>
    <xf numFmtId="0" fontId="9" fillId="2" borderId="1" xfId="0" applyFont="1" applyFill="1" applyBorder="1" applyAlignment="1" applyProtection="1">
      <alignment horizontal="left" vertical="center" wrapText="1"/>
      <protection locked="0"/>
    </xf>
    <xf numFmtId="177" fontId="9" fillId="2" borderId="1" xfId="227" applyNumberFormat="1" applyFont="1" applyFill="1" applyBorder="1" applyAlignment="1">
      <alignment horizontal="left" vertical="center" wrapText="1"/>
    </xf>
    <xf numFmtId="0" fontId="8" fillId="2" borderId="0" xfId="0" applyFont="1" applyFill="1" applyAlignment="1">
      <alignment horizontal="center" vertical="center"/>
    </xf>
    <xf numFmtId="179" fontId="1" fillId="2"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2" borderId="1" xfId="0" applyFont="1" applyFill="1" applyBorder="1" applyAlignment="1" applyProtection="1">
      <alignment horizontal="center" vertical="center" wrapText="1"/>
      <protection locked="0"/>
    </xf>
    <xf numFmtId="0" fontId="14" fillId="2" borderId="1" xfId="36" applyFont="1" applyFill="1" applyBorder="1" applyAlignment="1" applyProtection="1">
      <alignment vertical="center" wrapText="1"/>
    </xf>
    <xf numFmtId="0" fontId="9" fillId="2" borderId="1" xfId="227" applyFont="1" applyFill="1" applyBorder="1" applyAlignment="1">
      <alignment horizontal="center" vertical="center" wrapText="1"/>
    </xf>
    <xf numFmtId="0" fontId="9" fillId="2" borderId="1" xfId="227" applyFont="1" applyFill="1" applyBorder="1" applyAlignment="1">
      <alignment vertical="center" wrapText="1"/>
    </xf>
    <xf numFmtId="177" fontId="9" fillId="2" borderId="0" xfId="0" applyNumberFormat="1" applyFont="1" applyFill="1" applyBorder="1" applyAlignment="1">
      <alignment horizontal="center" vertical="center" wrapText="1"/>
    </xf>
    <xf numFmtId="0" fontId="9" fillId="2" borderId="0" xfId="0" applyNumberFormat="1" applyFont="1" applyFill="1" applyAlignment="1">
      <alignment horizontal="center" vertical="center" wrapText="1"/>
    </xf>
    <xf numFmtId="177" fontId="9" fillId="2" borderId="1" xfId="227" applyNumberFormat="1" applyFont="1" applyFill="1" applyBorder="1" applyAlignment="1">
      <alignment horizontal="center" vertical="center" wrapText="1"/>
    </xf>
    <xf numFmtId="176" fontId="9" fillId="2" borderId="1" xfId="110" applyNumberFormat="1" applyFont="1" applyFill="1" applyBorder="1" applyAlignment="1">
      <alignment horizontal="center" vertical="center" wrapText="1"/>
    </xf>
    <xf numFmtId="0" fontId="9" fillId="0" borderId="1" xfId="36" applyFont="1" applyFill="1" applyBorder="1" applyAlignment="1" applyProtection="1">
      <alignment vertical="center" wrapText="1"/>
    </xf>
    <xf numFmtId="0" fontId="9" fillId="0" borderId="6" xfId="0" applyFont="1" applyFill="1" applyBorder="1" applyAlignment="1">
      <alignment horizontal="left" vertical="center" wrapText="1"/>
    </xf>
    <xf numFmtId="178" fontId="9" fillId="2" borderId="1" xfId="0" applyNumberFormat="1" applyFont="1" applyFill="1" applyBorder="1" applyAlignment="1" applyProtection="1">
      <alignment horizontal="center" vertical="center" wrapText="1"/>
    </xf>
    <xf numFmtId="179" fontId="9" fillId="2" borderId="1" xfId="0" applyNumberFormat="1" applyFont="1" applyFill="1" applyBorder="1" applyAlignment="1">
      <alignment horizontal="left" vertical="center"/>
    </xf>
    <xf numFmtId="179" fontId="9" fillId="2" borderId="1" xfId="110" applyNumberFormat="1" applyFont="1" applyFill="1" applyBorder="1" applyAlignment="1">
      <alignment vertical="center" wrapText="1"/>
    </xf>
    <xf numFmtId="179" fontId="8" fillId="2" borderId="1" xfId="281" applyNumberFormat="1" applyFont="1" applyFill="1" applyBorder="1" applyAlignment="1">
      <alignment horizontal="center" vertical="center" wrapText="1"/>
    </xf>
    <xf numFmtId="0" fontId="9" fillId="2" borderId="1" xfId="185" applyFont="1" applyFill="1" applyBorder="1" applyAlignment="1">
      <alignment vertical="center" wrapText="1"/>
    </xf>
    <xf numFmtId="179" fontId="8" fillId="2" borderId="1" xfId="185" applyNumberFormat="1" applyFont="1" applyFill="1" applyBorder="1" applyAlignment="1">
      <alignment horizontal="center" vertical="center" wrapText="1"/>
    </xf>
    <xf numFmtId="0" fontId="9" fillId="2" borderId="1" xfId="227" applyFont="1" applyFill="1" applyBorder="1" applyAlignment="1">
      <alignment horizontal="left" vertical="center" wrapText="1"/>
    </xf>
    <xf numFmtId="179" fontId="9" fillId="2" borderId="1" xfId="110" applyNumberFormat="1" applyFont="1" applyFill="1" applyBorder="1" applyAlignment="1">
      <alignment horizontal="left" vertical="center" wrapText="1"/>
    </xf>
    <xf numFmtId="0" fontId="9" fillId="2" borderId="1" xfId="149" applyFont="1" applyFill="1" applyBorder="1" applyAlignment="1">
      <alignment horizontal="left" vertical="center" wrapText="1"/>
    </xf>
    <xf numFmtId="0" fontId="9" fillId="0" borderId="1" xfId="0" applyFont="1" applyFill="1" applyBorder="1" applyAlignment="1" applyProtection="1">
      <alignment horizontal="left" vertical="center" wrapText="1"/>
    </xf>
    <xf numFmtId="0" fontId="9" fillId="2" borderId="0" xfId="0" applyFont="1" applyFill="1" applyAlignment="1">
      <alignment horizontal="left" vertical="center" wrapText="1"/>
    </xf>
    <xf numFmtId="183" fontId="9" fillId="2" borderId="0" xfId="0" applyNumberFormat="1" applyFont="1" applyFill="1" applyAlignment="1">
      <alignment horizontal="center" vertical="center" wrapText="1"/>
    </xf>
    <xf numFmtId="179" fontId="9" fillId="2" borderId="0" xfId="0" applyNumberFormat="1" applyFont="1" applyFill="1" applyAlignment="1">
      <alignment horizontal="center" vertical="center" wrapText="1"/>
    </xf>
    <xf numFmtId="177" fontId="8" fillId="2" borderId="0" xfId="0" applyNumberFormat="1" applyFont="1" applyFill="1" applyBorder="1" applyAlignment="1">
      <alignment horizontal="center" vertical="center" wrapText="1"/>
    </xf>
    <xf numFmtId="179" fontId="9" fillId="2" borderId="0" xfId="0" applyNumberFormat="1" applyFont="1" applyFill="1" applyBorder="1" applyAlignment="1" applyProtection="1">
      <alignment horizontal="center" vertical="center" wrapText="1"/>
    </xf>
    <xf numFmtId="177" fontId="8" fillId="2" borderId="1" xfId="0" applyNumberFormat="1" applyFont="1" applyFill="1" applyBorder="1" applyAlignment="1">
      <alignment horizontal="center" vertical="center"/>
    </xf>
    <xf numFmtId="177" fontId="9" fillId="2" borderId="0" xfId="0" applyNumberFormat="1" applyFont="1" applyFill="1" applyBorder="1" applyAlignment="1">
      <alignment horizontal="left" vertical="center" wrapText="1"/>
    </xf>
    <xf numFmtId="0" fontId="4" fillId="2" borderId="1" xfId="203"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0" xfId="0" applyFont="1" applyFill="1" applyAlignment="1">
      <alignment vertical="center" wrapText="1"/>
    </xf>
    <xf numFmtId="0" fontId="41" fillId="2" borderId="0" xfId="36" applyFont="1" applyFill="1" applyBorder="1" applyAlignment="1" applyProtection="1">
      <alignment horizontal="left" vertical="center" wrapText="1"/>
    </xf>
    <xf numFmtId="0" fontId="42" fillId="2" borderId="0" xfId="36" applyFont="1" applyFill="1" applyBorder="1" applyAlignment="1" applyProtection="1">
      <alignment vertical="center" wrapText="1"/>
    </xf>
    <xf numFmtId="0" fontId="43" fillId="2" borderId="0" xfId="0" applyFont="1" applyFill="1" applyAlignment="1">
      <alignment horizontal="center" vertical="center" wrapText="1"/>
    </xf>
    <xf numFmtId="179" fontId="9" fillId="2" borderId="1" xfId="274" applyNumberFormat="1" applyFont="1" applyFill="1" applyBorder="1" applyAlignment="1">
      <alignment vertical="center" wrapText="1"/>
    </xf>
    <xf numFmtId="181" fontId="9" fillId="2" borderId="1" xfId="143" applyNumberFormat="1" applyFont="1" applyFill="1" applyBorder="1" applyAlignment="1">
      <alignment vertical="center" wrapText="1"/>
    </xf>
    <xf numFmtId="0" fontId="19" fillId="2" borderId="1" xfId="0" applyFont="1" applyFill="1" applyBorder="1" applyAlignment="1">
      <alignment horizontal="center" vertical="center" wrapText="1"/>
    </xf>
    <xf numFmtId="0" fontId="8" fillId="2" borderId="1" xfId="188" applyFont="1" applyFill="1" applyBorder="1" applyAlignment="1">
      <alignment horizontal="center" vertical="center" wrapText="1"/>
    </xf>
    <xf numFmtId="0" fontId="8" fillId="2" borderId="1" xfId="143" applyNumberFormat="1" applyFont="1" applyFill="1" applyBorder="1" applyAlignment="1">
      <alignment horizontal="center" vertical="center" wrapText="1"/>
    </xf>
    <xf numFmtId="0" fontId="8" fillId="2" borderId="1" xfId="0" applyFont="1" applyFill="1" applyBorder="1" applyAlignment="1">
      <alignment vertical="center"/>
    </xf>
    <xf numFmtId="0" fontId="8" fillId="2" borderId="1" xfId="0" applyFont="1" applyFill="1" applyBorder="1" applyAlignment="1"/>
    <xf numFmtId="0" fontId="8" fillId="2" borderId="1" xfId="0" applyFont="1" applyFill="1" applyBorder="1" applyAlignment="1">
      <alignment horizontal="center" vertical="center"/>
    </xf>
    <xf numFmtId="0" fontId="9" fillId="2" borderId="1" xfId="0" applyFont="1" applyFill="1" applyBorder="1"/>
    <xf numFmtId="176" fontId="8" fillId="2" borderId="1" xfId="0" applyNumberFormat="1" applyFont="1" applyFill="1" applyBorder="1" applyAlignment="1">
      <alignment horizontal="center" vertical="center" wrapText="1"/>
    </xf>
    <xf numFmtId="0" fontId="9" fillId="2" borderId="1" xfId="272" applyNumberFormat="1" applyFont="1" applyFill="1" applyBorder="1" applyAlignment="1">
      <alignment vertical="center" wrapText="1"/>
    </xf>
    <xf numFmtId="0" fontId="4" fillId="2" borderId="0" xfId="0" applyNumberFormat="1" applyFont="1" applyFill="1" applyAlignment="1" applyProtection="1">
      <alignment horizontal="center" vertical="center" wrapText="1"/>
    </xf>
    <xf numFmtId="0" fontId="4" fillId="2" borderId="0" xfId="0" applyNumberFormat="1" applyFont="1" applyFill="1" applyBorder="1" applyAlignment="1" applyProtection="1">
      <alignment horizontal="center" vertical="center" wrapText="1"/>
    </xf>
    <xf numFmtId="0" fontId="1" fillId="2" borderId="0" xfId="0" applyFont="1" applyFill="1" applyBorder="1" applyAlignment="1">
      <alignment horizontal="center"/>
    </xf>
    <xf numFmtId="0" fontId="21" fillId="2" borderId="0" xfId="0" applyFont="1" applyFill="1" applyAlignment="1">
      <alignment horizontal="center"/>
    </xf>
    <xf numFmtId="0" fontId="0" fillId="2" borderId="0" xfId="0" applyFont="1" applyFill="1" applyAlignment="1">
      <alignment horizontal="left"/>
    </xf>
    <xf numFmtId="0" fontId="44" fillId="2" borderId="0" xfId="36" applyFont="1" applyFill="1" applyBorder="1" applyAlignment="1" applyProtection="1">
      <alignment horizontal="left" vertical="center" wrapText="1"/>
    </xf>
    <xf numFmtId="0" fontId="45" fillId="2" borderId="0" xfId="36" applyFont="1" applyFill="1" applyBorder="1" applyAlignment="1" applyProtection="1">
      <alignment vertical="center" wrapText="1"/>
    </xf>
    <xf numFmtId="0" fontId="40" fillId="2" borderId="1" xfId="0" applyFont="1" applyFill="1" applyBorder="1" applyAlignment="1" applyProtection="1">
      <alignment horizontal="center" vertical="center" wrapText="1"/>
    </xf>
    <xf numFmtId="0" fontId="40" fillId="2" borderId="1" xfId="0" applyNumberFormat="1" applyFont="1" applyFill="1" applyBorder="1" applyAlignment="1" applyProtection="1">
      <alignment horizontal="center" vertical="center" wrapText="1"/>
    </xf>
    <xf numFmtId="179" fontId="40" fillId="2" borderId="1" xfId="0" applyNumberFormat="1" applyFont="1" applyFill="1" applyBorder="1" applyAlignment="1" applyProtection="1">
      <alignment horizontal="center" vertical="center" wrapText="1"/>
    </xf>
    <xf numFmtId="179" fontId="40" fillId="2" borderId="1" xfId="281" applyNumberFormat="1" applyFont="1" applyFill="1" applyBorder="1" applyAlignment="1" applyProtection="1">
      <alignment horizontal="center" vertical="center" wrapText="1"/>
    </xf>
    <xf numFmtId="57" fontId="9" fillId="2" borderId="1" xfId="0" applyNumberFormat="1" applyFont="1" applyFill="1" applyBorder="1" applyAlignment="1" applyProtection="1">
      <alignment horizontal="center" vertical="center" wrapText="1"/>
    </xf>
    <xf numFmtId="177" fontId="9" fillId="2" borderId="1" xfId="278" applyNumberFormat="1" applyFont="1" applyFill="1" applyBorder="1" applyAlignment="1">
      <alignment horizontal="center" vertical="center" wrapText="1"/>
    </xf>
    <xf numFmtId="0" fontId="9" fillId="2" borderId="1" xfId="218" applyFont="1" applyFill="1" applyBorder="1" applyAlignment="1">
      <alignment vertical="center" wrapText="1"/>
    </xf>
    <xf numFmtId="0" fontId="8" fillId="2" borderId="1" xfId="0" applyFont="1" applyFill="1" applyBorder="1"/>
    <xf numFmtId="0" fontId="9" fillId="2" borderId="1" xfId="210" applyFont="1" applyFill="1" applyBorder="1" applyAlignment="1">
      <alignment horizontal="center" vertical="center" wrapText="1"/>
    </xf>
    <xf numFmtId="177" fontId="9" fillId="2" borderId="1" xfId="210" applyNumberFormat="1" applyFont="1" applyFill="1" applyBorder="1" applyAlignment="1">
      <alignment horizontal="center" vertical="center" wrapText="1"/>
    </xf>
    <xf numFmtId="177" fontId="9" fillId="2" borderId="1" xfId="235" applyNumberFormat="1" applyFont="1" applyFill="1" applyBorder="1" applyAlignment="1">
      <alignment horizontal="left" vertical="center" wrapText="1"/>
    </xf>
    <xf numFmtId="0" fontId="9" fillId="2" borderId="1" xfId="188" applyFont="1" applyFill="1" applyBorder="1" applyAlignment="1">
      <alignment horizontal="center" vertical="center" wrapText="1"/>
    </xf>
    <xf numFmtId="177" fontId="9" fillId="2" borderId="1" xfId="278" applyNumberFormat="1" applyFont="1" applyFill="1" applyBorder="1" applyAlignment="1">
      <alignment horizontal="center" vertical="center"/>
    </xf>
    <xf numFmtId="179" fontId="8" fillId="2" borderId="1" xfId="0" applyNumberFormat="1" applyFont="1" applyFill="1" applyBorder="1" applyAlignment="1">
      <alignment horizontal="center" vertical="center" shrinkToFit="1"/>
    </xf>
    <xf numFmtId="179" fontId="8" fillId="2" borderId="1" xfId="278" applyNumberFormat="1" applyFont="1" applyFill="1" applyBorder="1" applyAlignment="1">
      <alignment horizontal="center" vertical="center" wrapText="1"/>
    </xf>
    <xf numFmtId="0" fontId="8" fillId="2" borderId="1" xfId="278" applyFont="1" applyFill="1" applyBorder="1" applyAlignment="1">
      <alignment horizontal="center" vertical="center" wrapText="1"/>
    </xf>
    <xf numFmtId="177" fontId="8" fillId="2" borderId="1" xfId="278" applyNumberFormat="1" applyFont="1" applyFill="1" applyBorder="1" applyAlignment="1">
      <alignment horizontal="center" vertical="center" wrapText="1"/>
    </xf>
    <xf numFmtId="49" fontId="4" fillId="2" borderId="0" xfId="0" applyNumberFormat="1" applyFont="1" applyFill="1" applyBorder="1" applyAlignment="1">
      <alignment horizontal="left" vertical="center" wrapText="1"/>
    </xf>
    <xf numFmtId="0" fontId="43" fillId="2" borderId="0" xfId="0" applyFont="1" applyFill="1" applyAlignment="1">
      <alignment horizontal="left" vertical="center" wrapText="1"/>
    </xf>
    <xf numFmtId="49" fontId="8" fillId="2" borderId="0" xfId="0" applyNumberFormat="1" applyFont="1" applyFill="1" applyBorder="1" applyAlignment="1">
      <alignment horizontal="left" vertical="center" wrapText="1"/>
    </xf>
    <xf numFmtId="49" fontId="40" fillId="2" borderId="1" xfId="0" applyNumberFormat="1" applyFont="1" applyFill="1" applyBorder="1" applyAlignment="1">
      <alignment horizontal="center" vertical="center" wrapText="1"/>
    </xf>
    <xf numFmtId="177" fontId="9" fillId="2" borderId="1" xfId="278" applyNumberFormat="1" applyFont="1" applyFill="1" applyBorder="1" applyAlignment="1">
      <alignment horizontal="left" vertical="center" wrapText="1"/>
    </xf>
    <xf numFmtId="182" fontId="9" fillId="2" borderId="1" xfId="173" applyNumberFormat="1" applyFont="1" applyFill="1" applyBorder="1" applyAlignment="1">
      <alignment horizontal="left" vertical="center" wrapText="1"/>
    </xf>
    <xf numFmtId="179" fontId="4" fillId="2" borderId="0" xfId="0" applyNumberFormat="1" applyFont="1" applyFill="1" applyAlignment="1" applyProtection="1">
      <alignment horizontal="center" vertical="center" wrapText="1"/>
    </xf>
    <xf numFmtId="0" fontId="4" fillId="2" borderId="0" xfId="0" applyFont="1" applyFill="1" applyBorder="1" applyAlignment="1">
      <alignment horizontal="center"/>
    </xf>
    <xf numFmtId="0" fontId="1" fillId="2" borderId="0" xfId="36" applyFont="1" applyFill="1" applyBorder="1" applyAlignment="1" applyProtection="1">
      <alignment horizontal="center" vertical="center" wrapText="1"/>
    </xf>
    <xf numFmtId="0" fontId="1" fillId="2" borderId="0" xfId="36" applyFont="1" applyFill="1" applyAlignment="1" applyProtection="1">
      <alignment horizontal="center" vertical="center" wrapText="1"/>
    </xf>
    <xf numFmtId="0" fontId="4" fillId="2" borderId="0" xfId="36" applyFont="1" applyFill="1" applyAlignment="1" applyProtection="1">
      <alignment horizontal="center" vertical="center" wrapText="1"/>
    </xf>
    <xf numFmtId="0" fontId="4" fillId="2" borderId="0" xfId="36" applyFont="1" applyFill="1" applyBorder="1" applyAlignment="1" applyProtection="1">
      <alignment horizontal="center" vertical="center" wrapText="1"/>
    </xf>
    <xf numFmtId="0" fontId="9" fillId="2" borderId="1" xfId="143" applyFont="1" applyFill="1" applyBorder="1" applyAlignment="1">
      <alignment horizontal="center" vertical="center" wrapText="1"/>
    </xf>
    <xf numFmtId="181" fontId="9" fillId="2" borderId="1" xfId="143" applyNumberFormat="1" applyFont="1" applyFill="1" applyBorder="1" applyAlignment="1">
      <alignment horizontal="left" vertical="center" wrapText="1"/>
    </xf>
    <xf numFmtId="179" fontId="8" fillId="2" borderId="1" xfId="201" applyNumberFormat="1" applyFont="1" applyFill="1" applyBorder="1" applyAlignment="1">
      <alignment horizontal="center" vertical="center" wrapText="1"/>
    </xf>
    <xf numFmtId="0" fontId="9" fillId="2" borderId="1" xfId="264" applyFont="1" applyFill="1" applyBorder="1" applyAlignment="1">
      <alignment horizontal="left" vertical="center" wrapText="1"/>
    </xf>
    <xf numFmtId="177" fontId="9" fillId="2" borderId="1" xfId="235" applyNumberFormat="1" applyFont="1" applyFill="1" applyBorder="1" applyAlignment="1">
      <alignment vertical="center" wrapText="1"/>
    </xf>
    <xf numFmtId="0" fontId="9" fillId="2" borderId="1" xfId="201" applyFont="1" applyFill="1" applyBorder="1" applyAlignment="1">
      <alignment vertical="center" wrapText="1"/>
    </xf>
    <xf numFmtId="0" fontId="9" fillId="2" borderId="1" xfId="272" applyNumberFormat="1" applyFont="1" applyFill="1" applyBorder="1" applyAlignment="1">
      <alignment horizontal="left" vertical="center" wrapText="1"/>
    </xf>
    <xf numFmtId="177" fontId="9" fillId="2" borderId="1" xfId="272" applyNumberFormat="1" applyFont="1" applyFill="1" applyBorder="1" applyAlignment="1">
      <alignment horizontal="left" vertical="center" wrapText="1"/>
    </xf>
    <xf numFmtId="49" fontId="9" fillId="2" borderId="1" xfId="125" applyNumberFormat="1" applyFont="1" applyFill="1" applyBorder="1" applyAlignment="1">
      <alignment horizontal="left" vertical="center" wrapText="1"/>
    </xf>
    <xf numFmtId="0" fontId="9" fillId="2" borderId="1" xfId="276" applyFont="1" applyFill="1" applyBorder="1" applyAlignment="1">
      <alignment vertical="center" wrapText="1"/>
    </xf>
    <xf numFmtId="176" fontId="9" fillId="2" borderId="1" xfId="276" applyNumberFormat="1" applyFont="1" applyFill="1" applyBorder="1" applyAlignment="1">
      <alignment horizontal="center" vertical="center" wrapText="1"/>
    </xf>
    <xf numFmtId="0" fontId="9" fillId="2" borderId="1" xfId="235" applyFont="1" applyFill="1" applyBorder="1" applyAlignment="1">
      <alignment vertical="center" wrapText="1"/>
    </xf>
    <xf numFmtId="0" fontId="9" fillId="2" borderId="1" xfId="235" applyFont="1" applyFill="1" applyBorder="1" applyAlignment="1">
      <alignment horizontal="center" vertical="center" wrapText="1"/>
    </xf>
    <xf numFmtId="177" fontId="9" fillId="2" borderId="1" xfId="235" applyNumberFormat="1" applyFont="1" applyFill="1" applyBorder="1" applyAlignment="1">
      <alignment horizontal="center" vertical="center" wrapText="1"/>
    </xf>
    <xf numFmtId="0" fontId="9" fillId="2" borderId="1" xfId="125" applyFont="1" applyFill="1" applyBorder="1" applyAlignment="1" applyProtection="1">
      <alignment vertical="center" wrapText="1"/>
    </xf>
    <xf numFmtId="0" fontId="9" fillId="2" borderId="1" xfId="125" applyNumberFormat="1" applyFont="1" applyFill="1" applyBorder="1" applyAlignment="1" applyProtection="1">
      <alignment horizontal="center" vertical="center" wrapText="1"/>
    </xf>
    <xf numFmtId="179" fontId="9" fillId="2" borderId="1" xfId="125" applyNumberFormat="1" applyFont="1" applyFill="1" applyBorder="1" applyAlignment="1" applyProtection="1">
      <alignment horizontal="center" vertical="center" wrapText="1"/>
    </xf>
    <xf numFmtId="0" fontId="9" fillId="2" borderId="1" xfId="266" applyFont="1" applyFill="1" applyBorder="1" applyAlignment="1" applyProtection="1">
      <alignment horizontal="left" vertical="center" wrapText="1"/>
    </xf>
    <xf numFmtId="0" fontId="9" fillId="2" borderId="1" xfId="278" applyFont="1" applyFill="1" applyBorder="1" applyAlignment="1">
      <alignment horizontal="center" vertical="center" wrapText="1"/>
    </xf>
    <xf numFmtId="179" fontId="8" fillId="2" borderId="1" xfId="188" applyNumberFormat="1" applyFont="1" applyFill="1" applyBorder="1" applyAlignment="1">
      <alignment horizontal="center" vertical="center" wrapText="1"/>
    </xf>
    <xf numFmtId="0" fontId="9" fillId="2" borderId="1" xfId="278" applyFont="1" applyFill="1" applyBorder="1" applyAlignment="1">
      <alignment vertical="center" wrapText="1"/>
    </xf>
    <xf numFmtId="177" fontId="8" fillId="2" borderId="1" xfId="278" applyNumberFormat="1" applyFont="1" applyFill="1" applyBorder="1" applyAlignment="1">
      <alignment horizontal="center" vertical="center"/>
    </xf>
    <xf numFmtId="177" fontId="9" fillId="2" borderId="1" xfId="278" applyNumberFormat="1" applyFont="1" applyFill="1" applyBorder="1" applyAlignment="1">
      <alignment vertical="center" wrapText="1"/>
    </xf>
    <xf numFmtId="179" fontId="9" fillId="2" borderId="1" xfId="276" applyNumberFormat="1" applyFont="1" applyFill="1" applyBorder="1" applyAlignment="1">
      <alignment horizontal="left" vertical="center" wrapText="1"/>
    </xf>
    <xf numFmtId="0" fontId="9" fillId="2" borderId="1" xfId="152" applyFont="1" applyFill="1" applyBorder="1" applyAlignment="1">
      <alignment horizontal="left" vertical="center" wrapText="1"/>
    </xf>
    <xf numFmtId="0" fontId="9" fillId="2" borderId="1" xfId="235" applyFont="1" applyFill="1" applyBorder="1" applyAlignment="1">
      <alignment horizontal="left" vertical="center" wrapText="1"/>
    </xf>
    <xf numFmtId="186" fontId="9" fillId="2" borderId="1" xfId="0" applyNumberFormat="1" applyFont="1" applyFill="1" applyBorder="1" applyAlignment="1">
      <alignment horizontal="center" vertical="center" wrapText="1" shrinkToFit="1"/>
    </xf>
    <xf numFmtId="179" fontId="9" fillId="2" borderId="1" xfId="137" applyNumberFormat="1" applyFont="1" applyFill="1" applyBorder="1" applyAlignment="1">
      <alignment horizontal="center" vertical="center" wrapText="1"/>
    </xf>
    <xf numFmtId="57" fontId="9" fillId="2" borderId="1" xfId="0" applyNumberFormat="1" applyFont="1" applyFill="1" applyBorder="1" applyAlignment="1">
      <alignment horizontal="center" vertical="center"/>
    </xf>
    <xf numFmtId="0" fontId="9" fillId="2" borderId="1" xfId="114" applyFont="1" applyFill="1" applyBorder="1" applyAlignment="1">
      <alignment horizontal="center" vertical="center" wrapText="1"/>
    </xf>
    <xf numFmtId="0" fontId="9" fillId="2" borderId="1" xfId="280" applyFont="1" applyFill="1" applyBorder="1" applyAlignment="1" applyProtection="1">
      <alignment horizontal="left" vertical="center" wrapText="1"/>
    </xf>
    <xf numFmtId="0" fontId="3" fillId="2" borderId="0" xfId="0" applyNumberFormat="1" applyFont="1" applyFill="1" applyAlignment="1">
      <alignment horizontal="center" vertical="center" wrapText="1"/>
    </xf>
    <xf numFmtId="0" fontId="8" fillId="2" borderId="3" xfId="36" applyFont="1" applyFill="1" applyBorder="1" applyAlignment="1" applyProtection="1">
      <alignment horizontal="left" vertical="center" wrapText="1"/>
    </xf>
    <xf numFmtId="0" fontId="8" fillId="2" borderId="4" xfId="36" applyFont="1" applyFill="1" applyBorder="1" applyAlignment="1" applyProtection="1">
      <alignment horizontal="left" vertical="center" wrapText="1"/>
    </xf>
    <xf numFmtId="0" fontId="8" fillId="2" borderId="5" xfId="36" applyFont="1" applyFill="1" applyBorder="1" applyAlignment="1" applyProtection="1">
      <alignment horizontal="left" vertical="center" wrapText="1"/>
    </xf>
    <xf numFmtId="179" fontId="9" fillId="2" borderId="1" xfId="137" applyNumberFormat="1" applyFont="1" applyFill="1" applyBorder="1" applyAlignment="1">
      <alignment horizontal="left" vertical="center" wrapText="1"/>
    </xf>
    <xf numFmtId="49" fontId="9" fillId="2" borderId="1" xfId="278" applyNumberFormat="1" applyFont="1" applyFill="1" applyBorder="1" applyAlignment="1">
      <alignment horizontal="center" vertical="center" wrapText="1"/>
    </xf>
    <xf numFmtId="0" fontId="9" fillId="2" borderId="1" xfId="278" applyNumberFormat="1"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49" fontId="40" fillId="2" borderId="2" xfId="0" applyNumberFormat="1" applyFont="1" applyFill="1" applyBorder="1" applyAlignment="1">
      <alignment horizontal="center" vertical="center" wrapText="1"/>
    </xf>
    <xf numFmtId="49" fontId="40" fillId="2" borderId="6" xfId="0" applyNumberFormat="1" applyFont="1" applyFill="1" applyBorder="1" applyAlignment="1">
      <alignment horizontal="center" vertical="center" wrapText="1"/>
    </xf>
    <xf numFmtId="49" fontId="9" fillId="2" borderId="1" xfId="278" applyNumberFormat="1" applyFont="1" applyFill="1" applyBorder="1" applyAlignment="1">
      <alignment horizontal="left" vertical="center" wrapText="1"/>
    </xf>
    <xf numFmtId="49" fontId="9" fillId="2" borderId="1" xfId="140" applyNumberFormat="1" applyFont="1" applyFill="1" applyBorder="1" applyAlignment="1">
      <alignment horizontal="left" vertical="center" wrapText="1"/>
    </xf>
    <xf numFmtId="0" fontId="9" fillId="2" borderId="1" xfId="266" applyFont="1" applyFill="1" applyBorder="1" applyAlignment="1" applyProtection="1">
      <alignment horizontal="center" vertical="center" wrapText="1"/>
    </xf>
    <xf numFmtId="0" fontId="9" fillId="2" borderId="1" xfId="143" applyFont="1" applyFill="1" applyBorder="1" applyAlignment="1">
      <alignment horizontal="left" vertical="center" wrapText="1"/>
    </xf>
    <xf numFmtId="0" fontId="9" fillId="2" borderId="1" xfId="179" applyFont="1" applyFill="1" applyBorder="1" applyAlignment="1">
      <alignment vertical="center" wrapText="1"/>
    </xf>
    <xf numFmtId="179" fontId="8" fillId="2" borderId="4" xfId="0" applyNumberFormat="1" applyFont="1" applyFill="1" applyBorder="1" applyAlignment="1" applyProtection="1">
      <alignment horizontal="center" vertical="center" wrapText="1"/>
    </xf>
    <xf numFmtId="183" fontId="8" fillId="2" borderId="5" xfId="0" applyNumberFormat="1" applyFont="1" applyFill="1" applyBorder="1" applyAlignment="1" applyProtection="1">
      <alignment horizontal="center" vertical="center" wrapText="1"/>
    </xf>
    <xf numFmtId="179" fontId="9" fillId="2" borderId="1" xfId="143" applyNumberFormat="1" applyFont="1" applyFill="1" applyBorder="1" applyAlignment="1" applyProtection="1">
      <alignment horizontal="left" vertical="center" wrapText="1"/>
    </xf>
    <xf numFmtId="177" fontId="9" fillId="2" borderId="3" xfId="0" applyNumberFormat="1" applyFont="1" applyFill="1" applyBorder="1" applyAlignment="1">
      <alignment horizontal="left" vertical="center" wrapText="1"/>
    </xf>
    <xf numFmtId="0" fontId="9" fillId="2" borderId="5" xfId="0" applyNumberFormat="1" applyFont="1" applyFill="1" applyBorder="1" applyAlignment="1" applyProtection="1">
      <alignment vertical="center" wrapText="1"/>
    </xf>
    <xf numFmtId="0" fontId="9" fillId="2" borderId="1" xfId="179" applyFont="1" applyFill="1" applyBorder="1" applyAlignment="1">
      <alignment horizontal="left" vertical="center" wrapText="1"/>
    </xf>
    <xf numFmtId="0" fontId="4" fillId="2" borderId="1" xfId="125" applyFont="1" applyFill="1" applyBorder="1" applyAlignment="1" applyProtection="1">
      <alignment horizontal="center" vertical="center" wrapText="1"/>
    </xf>
    <xf numFmtId="0" fontId="9" fillId="2" borderId="1" xfId="276" applyFont="1" applyFill="1" applyBorder="1" applyAlignment="1">
      <alignment horizontal="center" vertical="center" wrapText="1"/>
    </xf>
    <xf numFmtId="0" fontId="9" fillId="2" borderId="1" xfId="276" applyFont="1" applyFill="1" applyBorder="1" applyAlignment="1">
      <alignment horizontal="left" vertical="center" wrapText="1"/>
    </xf>
    <xf numFmtId="177" fontId="46" fillId="2" borderId="1" xfId="0" applyNumberFormat="1" applyFont="1" applyFill="1" applyBorder="1" applyAlignment="1">
      <alignment horizontal="center" vertical="center" wrapText="1"/>
    </xf>
    <xf numFmtId="0" fontId="9" fillId="2" borderId="1" xfId="114" applyFont="1" applyFill="1" applyBorder="1" applyAlignment="1">
      <alignment vertical="center" wrapText="1"/>
    </xf>
    <xf numFmtId="0" fontId="9" fillId="2" borderId="1" xfId="114" applyFont="1" applyFill="1" applyBorder="1" applyAlignment="1">
      <alignment horizontal="left" vertical="center" wrapText="1"/>
    </xf>
  </cellXfs>
  <cellStyles count="283">
    <cellStyle name="常规" xfId="0" builtinId="0"/>
    <cellStyle name="_ET_STYLE_NoName_00__项目总表_钦州市2015年重大项目推进攻坚完成情况月报表（9月）-20151012 2" xfId="1"/>
    <cellStyle name="货币[0]" xfId="2" builtinId="7"/>
    <cellStyle name="20% - 强调文字颜色 3" xfId="3" builtinId="38"/>
    <cellStyle name="输入" xfId="4" builtinId="20"/>
    <cellStyle name="常规 44" xfId="5"/>
    <cellStyle name="货币" xfId="6" builtinId="4"/>
    <cellStyle name="_ET_STYLE_NoName_00__项目总表 2 2" xfId="7"/>
    <cellStyle name="千位分隔[0]" xfId="8" builtinId="6"/>
    <cellStyle name="40% - 强调文字颜色 3" xfId="9" builtinId="39"/>
    <cellStyle name="差" xfId="10" builtinId="27"/>
    <cellStyle name="千位分隔" xfId="11" builtinId="3"/>
    <cellStyle name="60% - 强调文字颜色 3" xfId="12" builtinId="40"/>
    <cellStyle name="超链接" xfId="13" builtinId="8"/>
    <cellStyle name="常规 2 2 2 2 2 2 2 2 2 2" xfId="14"/>
    <cellStyle name="百分比" xfId="15" builtinId="5"/>
    <cellStyle name="已访问的超链接" xfId="16" builtinId="9"/>
    <cellStyle name="常规 6" xfId="17"/>
    <cellStyle name="注释" xfId="18" builtinId="10"/>
    <cellStyle name="60% - 强调文字颜色 2" xfId="19" builtinId="36"/>
    <cellStyle name="常规 5 2 4" xfId="20"/>
    <cellStyle name="标题 4" xfId="21" builtinId="19"/>
    <cellStyle name="常规 3 2_钦州市2016年重点建设项目推进情况月报表-20160623" xfId="22"/>
    <cellStyle name="0,0_x000d__x000a_NA_x000d__x000a_ 13 2 2 2" xfId="23"/>
    <cellStyle name="警告文本" xfId="24" builtinId="11"/>
    <cellStyle name="常规_2012年自治区重大项目建设方案（待报区政府）" xfId="25"/>
    <cellStyle name="常规 5 2" xfId="26"/>
    <cellStyle name="标题" xfId="27" builtinId="15"/>
    <cellStyle name="_灵山县2012年重点建设项目月报表180个（9月）梁_钦州市2014年重大项目推进攻坚责任表（调整后）上报稿12月1日" xfId="28"/>
    <cellStyle name="_ET_STYLE_NoName_00_" xfId="29"/>
    <cellStyle name="解释性文本" xfId="30" builtinId="53"/>
    <cellStyle name="_ET_STYLE_NoName_00__项目总表_1" xfId="31"/>
    <cellStyle name="标题 1" xfId="32" builtinId="16"/>
    <cellStyle name="常规 6 3" xfId="33"/>
    <cellStyle name="_ET_STYLE_NoName_00_ 2" xfId="34"/>
    <cellStyle name="常规 5 2 2" xfId="35"/>
    <cellStyle name="0,0_x000d__x000a_NA_x000d__x000a_" xfId="36"/>
    <cellStyle name="标题 2" xfId="37" builtinId="17"/>
    <cellStyle name="60% - 强调文字颜色 1" xfId="38" builtinId="32"/>
    <cellStyle name="_ET_STYLE_NoName_00__项目总表_钦州市2015年重大项目推进攻坚完成情况月报表（9月）-20151012 2 2" xfId="39"/>
    <cellStyle name="常规 5 2 3" xfId="40"/>
    <cellStyle name="标题 3" xfId="41" builtinId="18"/>
    <cellStyle name="60% - 强调文字颜色 4" xfId="42" builtinId="44"/>
    <cellStyle name="输出" xfId="43" builtinId="21"/>
    <cellStyle name="计算" xfId="44" builtinId="22"/>
    <cellStyle name="常规 8_（3月1日区四套子会定）2018年钦北推进自治区、市及区本级重大建设项目责任表 (送定稿)" xfId="45"/>
    <cellStyle name="检查单元格" xfId="46" builtinId="23"/>
    <cellStyle name="常规 8 3" xfId="47"/>
    <cellStyle name="20% - 强调文字颜色 6" xfId="48" builtinId="50"/>
    <cellStyle name="强调文字颜色 2" xfId="49" builtinId="33"/>
    <cellStyle name="链接单元格" xfId="50" builtinId="24"/>
    <cellStyle name="汇总" xfId="51" builtinId="25"/>
    <cellStyle name="好" xfId="52" builtinId="26"/>
    <cellStyle name="适中" xfId="53" builtinId="28"/>
    <cellStyle name="常规 8 2" xfId="54"/>
    <cellStyle name="20% - 强调文字颜色 5" xfId="55" builtinId="46"/>
    <cellStyle name="强调文字颜色 1" xfId="56" builtinId="29"/>
    <cellStyle name="0,0_x000d__x000a_NA_x000d__x000a_ 18 2 2" xfId="57"/>
    <cellStyle name="20% - 强调文字颜色 1" xfId="58" builtinId="30"/>
    <cellStyle name="40% - 强调文字颜色 1" xfId="59" builtinId="31"/>
    <cellStyle name="20% - 强调文字颜色 2" xfId="60" builtinId="34"/>
    <cellStyle name="40% - 强调文字颜色 2" xfId="61" builtinId="35"/>
    <cellStyle name="_ET_STYLE_NoName_00__项目总表" xfId="62"/>
    <cellStyle name="强调文字颜色 3" xfId="63" builtinId="37"/>
    <cellStyle name="0,0_x005f_x000D__x000a_NA_x005f_x000D__x000a_" xfId="64"/>
    <cellStyle name="强调文字颜色 4" xfId="65" builtinId="41"/>
    <cellStyle name="20% - 强调文字颜色 4" xfId="66" builtinId="42"/>
    <cellStyle name="40% - 强调文字颜色 4" xfId="67" builtinId="43"/>
    <cellStyle name="强调文字颜色 5" xfId="68" builtinId="45"/>
    <cellStyle name="40% - 强调文字颜色 5" xfId="69" builtinId="47"/>
    <cellStyle name="_ET_STYLE_NoName_00__项目总表 2" xfId="70"/>
    <cellStyle name="常规 53 2" xfId="71"/>
    <cellStyle name="60% - 强调文字颜色 5" xfId="72" builtinId="48"/>
    <cellStyle name="强调文字颜色 6" xfId="73" builtinId="49"/>
    <cellStyle name="适中 2" xfId="74"/>
    <cellStyle name="40% - 强调文字颜色 6" xfId="75" builtinId="51"/>
    <cellStyle name="_ET_STYLE_NoName_00__项目总表 3" xfId="76"/>
    <cellStyle name="常规 53 3" xfId="77"/>
    <cellStyle name="60% - 强调文字颜色 6" xfId="78" builtinId="52"/>
    <cellStyle name="常规 4" xfId="79"/>
    <cellStyle name="_ET_STYLE_NoName_00__Sheet1" xfId="80"/>
    <cellStyle name="_ET_STYLE_NoName_00__项目总表_钦州市2015年重大项目推进攻坚完成情况月报表（9月）-20151012" xfId="81"/>
    <cellStyle name="常规 3 4 2" xfId="82"/>
    <cellStyle name="_灵山县2012年重点建设项目月报表180个（9月）梁" xfId="83"/>
    <cellStyle name="_ET_STYLE_NoName_00__项目总表_钦州市2015年重大项目推进攻坚完成情况月报表（9月）-20151012 3" xfId="84"/>
    <cellStyle name="_灵山县2012年重点建设项目月报表180个（9月）梁_分县区部门开竣工项目" xfId="85"/>
    <cellStyle name="_钦州市2015年重大项目推进攻坚完成情况月报表（9月）-20151012" xfId="86"/>
    <cellStyle name="_项目总表" xfId="87"/>
    <cellStyle name="0,0_x000d__x000a_NA_x000d__x000a__Sheet1" xfId="88"/>
    <cellStyle name="_正本" xfId="89"/>
    <cellStyle name="0,0 _x000a_NA _x000a_" xfId="90"/>
    <cellStyle name="0,0_x000d__x000a_NA_x000d__x000a_ 10 3" xfId="91"/>
    <cellStyle name="0,0_x000d__x000a_NA_x000d__x000a_ 13" xfId="92"/>
    <cellStyle name="e鯪9Y_x000b__钦州市2015年重大项目推进攻坚完成情况月报表（9月）-20151012" xfId="93"/>
    <cellStyle name="0,0_x000d__x000a_NA_x000d__x000a_ 13 2" xfId="94"/>
    <cellStyle name="0,0_x000d__x000a_NA_x000d__x000a_ 13 2 2" xfId="95"/>
    <cellStyle name="0,0_x000d__x000a_NA_x000d__x000a_ 13 2 3" xfId="96"/>
    <cellStyle name="0,0_x000d__x000a_NA_x000d__x000a_ 13 3" xfId="97"/>
    <cellStyle name="0,0_x000d__x000a_NA_x000d__x000a_ 13 3 2" xfId="98"/>
    <cellStyle name="0,0_x000d__x000a_NA_x000d__x000a_ 13 4" xfId="99"/>
    <cellStyle name="差_项目总表" xfId="100"/>
    <cellStyle name="0,0_x000d__x000a_NA_x000d__x000a_ 13_钦州市2015年重大项目推进攻坚完成情况月报表（9月）-20151012" xfId="101"/>
    <cellStyle name="0,0_x000d__x000a_NA_x000d__x000a_ 14" xfId="102"/>
    <cellStyle name="0,0_x000d__x000a_NA_x000d__x000a_ 14 2" xfId="103"/>
    <cellStyle name="0,0_x000d__x000a_NA_x000d__x000a_ 14 2 2" xfId="104"/>
    <cellStyle name="0,0_x000d__x000a_NA_x000d__x000a_ 14 3" xfId="105"/>
    <cellStyle name="常规 60 2" xfId="106"/>
    <cellStyle name="0,0_x000d__x000a_NA_x000d__x000a_ 16" xfId="107"/>
    <cellStyle name="常规 60 2 2" xfId="108"/>
    <cellStyle name="0,0_x000d__x000a_NA_x000d__x000a_ 16 2" xfId="109"/>
    <cellStyle name="常规_重大工程基本情况表0318" xfId="110"/>
    <cellStyle name="e鯪9Y_x000b_ 2" xfId="111"/>
    <cellStyle name="0,0_x000d__x000a_NA_x000d__x000a_ 16 3" xfId="112"/>
    <cellStyle name="e鯪9Y_x000b_ 3" xfId="113"/>
    <cellStyle name="0,0_x000d__x000a_NA_x000d__x000a_ 16 4" xfId="114"/>
    <cellStyle name="常规_钦州市2014年重大项目推进攻坚责任表（调整后）上报稿12月1日" xfId="115"/>
    <cellStyle name="0,0_x000d__x000a_NA_x000d__x000a_ 18" xfId="116"/>
    <cellStyle name="0,0_x000d__x000a_NA_x000d__x000a_ 18 2" xfId="117"/>
    <cellStyle name="常规 16 2" xfId="118"/>
    <cellStyle name="常规 10" xfId="119"/>
    <cellStyle name="0,0_x000d__x000a_NA_x000d__x000a_ 18 3" xfId="120"/>
    <cellStyle name="常规 5 2 2 2" xfId="121"/>
    <cellStyle name="0,0_x000d__x000a_NA_x000d__x000a_ 2" xfId="122"/>
    <cellStyle name="常规 15 3" xfId="123"/>
    <cellStyle name="0,0_x000d__x000a_NA_x000d__x000a_ 2 2" xfId="124"/>
    <cellStyle name="常规 8 4" xfId="125"/>
    <cellStyle name="0,0_x000d__x000a_NA_x000d__x000a_ 2_分县区部门开竣工项目" xfId="126"/>
    <cellStyle name="0,0_x000d__x000a_NA_x000d__x000a_ 3" xfId="127"/>
    <cellStyle name="0,0_x000d__x000a_NA_x000d__x000a__【10.10】2014年钦州市中心城区城市建设项目计划" xfId="128"/>
    <cellStyle name="0,0_x000d__x000a_NA_x000d__x000a__钦州市2014年重大项目推进攻坚责任表（调整后）上报稿12月1日" xfId="129"/>
    <cellStyle name="0,0_x000d__x000a_NA_x000d__x000a__钦州市2015年重大项目项目调整表-第9次修改-20151114" xfId="130"/>
    <cellStyle name="e鯪9Y_x000b_" xfId="131"/>
    <cellStyle name="e鯪9Y_x000b_ 2 2" xfId="132"/>
    <cellStyle name="e鯪9Y_x000b_ 4" xfId="133"/>
    <cellStyle name="e鯪9Y_x000b_ 4 2" xfId="134"/>
    <cellStyle name="e鯪9Y_x000b_ 4 2 2" xfId="135"/>
    <cellStyle name="e鯪9Y_x000b_ 4 3" xfId="136"/>
    <cellStyle name="gcd" xfId="137"/>
    <cellStyle name="差 2" xfId="138"/>
    <cellStyle name="差_项目总表 2" xfId="139"/>
    <cellStyle name="差 3" xfId="140"/>
    <cellStyle name="差_项目总表 2 2" xfId="141"/>
    <cellStyle name="差_项目总表 3" xfId="142"/>
    <cellStyle name="常规 2 7" xfId="143"/>
    <cellStyle name="常规 10 2 2" xfId="144"/>
    <cellStyle name="常规 10 2 2 2" xfId="145"/>
    <cellStyle name="常规 10 2 2 2 2" xfId="146"/>
    <cellStyle name="常规 16 3" xfId="147"/>
    <cellStyle name="常规 11" xfId="148"/>
    <cellStyle name="常规 118 12" xfId="149"/>
    <cellStyle name="常规 118 12 2" xfId="150"/>
    <cellStyle name="常规 53 2 2" xfId="151"/>
    <cellStyle name="常规 118 12 3" xfId="152"/>
    <cellStyle name="常规 12" xfId="153"/>
    <cellStyle name="常规 2 15 2 2" xfId="154"/>
    <cellStyle name="常规 13" xfId="155"/>
    <cellStyle name="常规 2 15 2 2 2" xfId="156"/>
    <cellStyle name="常规 13 2" xfId="157"/>
    <cellStyle name="常规 53" xfId="158"/>
    <cellStyle name="常规 13 2 2" xfId="159"/>
    <cellStyle name="常规 2 15 2 2 3" xfId="160"/>
    <cellStyle name="常规 13 3" xfId="161"/>
    <cellStyle name="常规 15" xfId="162"/>
    <cellStyle name="常规 15 2" xfId="163"/>
    <cellStyle name="常规 15 2 2" xfId="164"/>
    <cellStyle name="常规 21" xfId="165"/>
    <cellStyle name="常规 16" xfId="166"/>
    <cellStyle name="常规 16 2 2" xfId="167"/>
    <cellStyle name="常规 17" xfId="168"/>
    <cellStyle name="常规 51 2 2" xfId="169"/>
    <cellStyle name="常规 19" xfId="170"/>
    <cellStyle name="常规_钦州市2015年重大项目项目调整表-第9次修改-20151114" xfId="171"/>
    <cellStyle name="常规 19 2" xfId="172"/>
    <cellStyle name="常规 19 3" xfId="173"/>
    <cellStyle name="常规 2" xfId="174"/>
    <cellStyle name="常规 2 2" xfId="175"/>
    <cellStyle name="常规 2 2 2" xfId="176"/>
    <cellStyle name="常规 2 2 2 2 2 2 2 2 2" xfId="177"/>
    <cellStyle name="常规 2 2 2 2 2 2 2 2 2 3" xfId="178"/>
    <cellStyle name="常规 2 2 2 2 2 2 2 2 2 4" xfId="179"/>
    <cellStyle name="常规 43" xfId="180"/>
    <cellStyle name="常规 2 2 3" xfId="181"/>
    <cellStyle name="常规 43 2" xfId="182"/>
    <cellStyle name="常规 2 2 3 2" xfId="183"/>
    <cellStyle name="常规 2 3" xfId="184"/>
    <cellStyle name="常规 2 4" xfId="185"/>
    <cellStyle name="常规 2 4 2" xfId="186"/>
    <cellStyle name="常规 2 4 3" xfId="187"/>
    <cellStyle name="常规 2 4 4" xfId="188"/>
    <cellStyle name="常规 2 5" xfId="189"/>
    <cellStyle name="常规 2 6" xfId="190"/>
    <cellStyle name="常规 3" xfId="191"/>
    <cellStyle name="常规 3 2" xfId="192"/>
    <cellStyle name="常规 3 2 2" xfId="193"/>
    <cellStyle name="常规 58" xfId="194"/>
    <cellStyle name="常规 3 2 2 2" xfId="195"/>
    <cellStyle name="好_项目总表 2" xfId="196"/>
    <cellStyle name="常规 3 2 3" xfId="197"/>
    <cellStyle name="好_项目总表 2 2" xfId="198"/>
    <cellStyle name="常规 3 2 3 2" xfId="199"/>
    <cellStyle name="常规 3 2 3 3" xfId="200"/>
    <cellStyle name="常规 3 2 3 4" xfId="201"/>
    <cellStyle name="好_项目总表 3" xfId="202"/>
    <cellStyle name="常规_县区基础设施_5" xfId="203"/>
    <cellStyle name="常规 3 2 4" xfId="204"/>
    <cellStyle name="常规 3 3" xfId="205"/>
    <cellStyle name="常规 3 3 2" xfId="206"/>
    <cellStyle name="常规 3 4" xfId="207"/>
    <cellStyle name="常规 3 5" xfId="208"/>
    <cellStyle name="常规 3 6" xfId="209"/>
    <cellStyle name="常规 3 7" xfId="210"/>
    <cellStyle name="常规 3_钦州市2016年重点建设项目推进情况月报表-20160623" xfId="211"/>
    <cellStyle name="常规 4 2" xfId="212"/>
    <cellStyle name="常规 4 4" xfId="213"/>
    <cellStyle name="常规 4 2 2" xfId="214"/>
    <cellStyle name="常规 4 2 2 2" xfId="215"/>
    <cellStyle name="常规 4 2 3" xfId="216"/>
    <cellStyle name="常规 4 3" xfId="217"/>
    <cellStyle name="常规_明细表_4 3" xfId="218"/>
    <cellStyle name="常规 5 4" xfId="219"/>
    <cellStyle name="常规 4 3 2" xfId="220"/>
    <cellStyle name="常规 43 2 2" xfId="221"/>
    <cellStyle name="常规 43 3" xfId="222"/>
    <cellStyle name="常规 44 2" xfId="223"/>
    <cellStyle name="常规 44 2 2" xfId="224"/>
    <cellStyle name="普通_活用表_亿元表" xfId="225"/>
    <cellStyle name="常规 44 3" xfId="226"/>
    <cellStyle name="常规 5" xfId="227"/>
    <cellStyle name="常规 5 2 3 2" xfId="228"/>
    <cellStyle name="常规 5 2_钦州市2016年重点建设项目推进情况月报表-20160623" xfId="229"/>
    <cellStyle name="常规 5 3" xfId="230"/>
    <cellStyle name="常规 5 3 2" xfId="231"/>
    <cellStyle name="常规 5 4 2" xfId="232"/>
    <cellStyle name="常规 5 5" xfId="233"/>
    <cellStyle name="常规 5 6" xfId="234"/>
    <cellStyle name="常规 5 7" xfId="235"/>
    <cellStyle name="常规 5_钦州市2016年重点建设项目推进情况月报表-20160623" xfId="236"/>
    <cellStyle name="常规 51" xfId="237"/>
    <cellStyle name="常规 51 2" xfId="238"/>
    <cellStyle name="常规_Sheet1_9" xfId="239"/>
    <cellStyle name="常规 51 3" xfId="240"/>
    <cellStyle name="常规 61" xfId="241"/>
    <cellStyle name="常规 56" xfId="242"/>
    <cellStyle name="常规 61 2" xfId="243"/>
    <cellStyle name="常规 56 2" xfId="244"/>
    <cellStyle name="常规 61 2 2" xfId="245"/>
    <cellStyle name="常规 56 2 2" xfId="246"/>
    <cellStyle name="常规 61 3" xfId="247"/>
    <cellStyle name="常规 56 3" xfId="248"/>
    <cellStyle name="常规 62" xfId="249"/>
    <cellStyle name="常规 57" xfId="250"/>
    <cellStyle name="常规 62 2" xfId="251"/>
    <cellStyle name="常规 57 2" xfId="252"/>
    <cellStyle name="常规 62 2 2" xfId="253"/>
    <cellStyle name="常规 57 2 2" xfId="254"/>
    <cellStyle name="常规 62 3" xfId="255"/>
    <cellStyle name="常规 57 3" xfId="256"/>
    <cellStyle name="常规 58 2" xfId="257"/>
    <cellStyle name="常规 58 2 2" xfId="258"/>
    <cellStyle name="常规 58 3" xfId="259"/>
    <cellStyle name="常规 6 2" xfId="260"/>
    <cellStyle name="常规 6 2 2" xfId="261"/>
    <cellStyle name="常规 60" xfId="262"/>
    <cellStyle name="常规 60 3" xfId="263"/>
    <cellStyle name="常规 7" xfId="264"/>
    <cellStyle name="常规 8" xfId="265"/>
    <cellStyle name="常规 8_（3月1日区四套子会定）2018年钦北推进自治区、市及区本级重大建设项目责任表 (送定稿) 4" xfId="266"/>
    <cellStyle name="常规 9" xfId="267"/>
    <cellStyle name="常规_149个灵山县统筹推进项目投资汇总表10.8" xfId="268"/>
    <cellStyle name="好 3" xfId="269"/>
    <cellStyle name="常规_2007年自治区企业挖潜改造资金项目计划表-尿素" xfId="270"/>
    <cellStyle name="常规_Sheet1" xfId="271"/>
    <cellStyle name="常规_Sheet1 4" xfId="272"/>
    <cellStyle name="常规_辽宁去长沙修改后附表(吴）05.4.25" xfId="273"/>
    <cellStyle name="常规_辽宁去长沙修改后附表(吴）05.4.25 3" xfId="274"/>
    <cellStyle name="常规_明细表_4" xfId="275"/>
    <cellStyle name="常规_重大工程基本情况表0318 4" xfId="276"/>
    <cellStyle name="好 2" xfId="277"/>
    <cellStyle name="好 4" xfId="278"/>
    <cellStyle name="好_项目总表" xfId="279"/>
    <cellStyle name="适中 3" xfId="280"/>
    <cellStyle name="样式 1" xfId="281"/>
    <cellStyle name="样式 1 2" xfId="282"/>
  </cellStyles>
  <dxfs count="2">
    <dxf>
      <font>
        <b val="0"/>
        <i val="0"/>
        <strike val="0"/>
        <u val="none"/>
        <sz val="10"/>
        <color indexed="20"/>
      </font>
      <fill>
        <patternFill patternType="solid">
          <bgColor indexed="45"/>
        </patternFill>
      </fill>
    </dxf>
    <dxf>
      <font>
        <b val="0"/>
        <i val="0"/>
        <strike val="0"/>
        <u val="none"/>
        <sz val="10"/>
        <color indexed="20"/>
      </font>
      <fill>
        <patternFill patternType="solid">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externalLink" Target="externalLinks/externalLink2.xml"/><Relationship Id="rId14" Type="http://schemas.openxmlformats.org/officeDocument/2006/relationships/externalLink" Target="externalLinks/externalLink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32</xdr:col>
      <xdr:colOff>381000</xdr:colOff>
      <xdr:row>201</xdr:row>
      <xdr:rowOff>0</xdr:rowOff>
    </xdr:from>
    <xdr:to>
      <xdr:col>44</xdr:col>
      <xdr:colOff>390525</xdr:colOff>
      <xdr:row>201</xdr:row>
      <xdr:rowOff>9525</xdr:rowOff>
    </xdr:to>
    <xdr:sp>
      <xdr:nvSpPr>
        <xdr:cNvPr id="22878"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79"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80"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81"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82"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83"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2884" name="Text Box 241"/>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2885" name="Text Box 242"/>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2886" name="Text Box 243"/>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2887" name="Text Box 244"/>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2888" name="Text Box 245"/>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2889" name="Text Box 246"/>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0"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1"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2"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3"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4"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5"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6"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7"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8"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899"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900"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2901"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2902" name="Text Box 241"/>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2903" name="Text Box 242"/>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2904" name="Text Box 243"/>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2905" name="Text Box 244"/>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2906" name="Text Box 245"/>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2907" name="Text Box 246"/>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0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0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1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2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3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4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5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6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7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8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299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0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1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2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3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4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5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6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7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8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09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0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1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2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3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4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5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6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7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8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19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0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321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99</xdr:row>
      <xdr:rowOff>0</xdr:rowOff>
    </xdr:from>
    <xdr:to>
      <xdr:col>0</xdr:col>
      <xdr:colOff>514350</xdr:colOff>
      <xdr:row>99</xdr:row>
      <xdr:rowOff>9525</xdr:rowOff>
    </xdr:to>
    <xdr:sp>
      <xdr:nvSpPr>
        <xdr:cNvPr id="23220" name="Text Box 241"/>
        <xdr:cNvSpPr txBox="1">
          <a:spLocks noChangeArrowheads="1"/>
        </xdr:cNvSpPr>
      </xdr:nvSpPr>
      <xdr:spPr>
        <a:xfrm>
          <a:off x="504825" y="858443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99</xdr:row>
      <xdr:rowOff>0</xdr:rowOff>
    </xdr:from>
    <xdr:to>
      <xdr:col>0</xdr:col>
      <xdr:colOff>514350</xdr:colOff>
      <xdr:row>99</xdr:row>
      <xdr:rowOff>9525</xdr:rowOff>
    </xdr:to>
    <xdr:sp>
      <xdr:nvSpPr>
        <xdr:cNvPr id="23221" name="Text Box 242"/>
        <xdr:cNvSpPr txBox="1">
          <a:spLocks noChangeArrowheads="1"/>
        </xdr:cNvSpPr>
      </xdr:nvSpPr>
      <xdr:spPr>
        <a:xfrm>
          <a:off x="504825" y="858443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99</xdr:row>
      <xdr:rowOff>0</xdr:rowOff>
    </xdr:from>
    <xdr:to>
      <xdr:col>0</xdr:col>
      <xdr:colOff>514350</xdr:colOff>
      <xdr:row>99</xdr:row>
      <xdr:rowOff>9525</xdr:rowOff>
    </xdr:to>
    <xdr:sp>
      <xdr:nvSpPr>
        <xdr:cNvPr id="23222" name="Text Box 243"/>
        <xdr:cNvSpPr txBox="1">
          <a:spLocks noChangeArrowheads="1"/>
        </xdr:cNvSpPr>
      </xdr:nvSpPr>
      <xdr:spPr>
        <a:xfrm>
          <a:off x="504825" y="858443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99</xdr:row>
      <xdr:rowOff>0</xdr:rowOff>
    </xdr:from>
    <xdr:to>
      <xdr:col>0</xdr:col>
      <xdr:colOff>514350</xdr:colOff>
      <xdr:row>99</xdr:row>
      <xdr:rowOff>9525</xdr:rowOff>
    </xdr:to>
    <xdr:sp>
      <xdr:nvSpPr>
        <xdr:cNvPr id="23223" name="Text Box 244"/>
        <xdr:cNvSpPr txBox="1">
          <a:spLocks noChangeArrowheads="1"/>
        </xdr:cNvSpPr>
      </xdr:nvSpPr>
      <xdr:spPr>
        <a:xfrm>
          <a:off x="504825" y="858443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99</xdr:row>
      <xdr:rowOff>0</xdr:rowOff>
    </xdr:from>
    <xdr:to>
      <xdr:col>0</xdr:col>
      <xdr:colOff>514350</xdr:colOff>
      <xdr:row>99</xdr:row>
      <xdr:rowOff>9525</xdr:rowOff>
    </xdr:to>
    <xdr:sp>
      <xdr:nvSpPr>
        <xdr:cNvPr id="23224" name="Text Box 245"/>
        <xdr:cNvSpPr txBox="1">
          <a:spLocks noChangeArrowheads="1"/>
        </xdr:cNvSpPr>
      </xdr:nvSpPr>
      <xdr:spPr>
        <a:xfrm>
          <a:off x="504825" y="858443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99</xdr:row>
      <xdr:rowOff>0</xdr:rowOff>
    </xdr:from>
    <xdr:to>
      <xdr:col>0</xdr:col>
      <xdr:colOff>514350</xdr:colOff>
      <xdr:row>99</xdr:row>
      <xdr:rowOff>9525</xdr:rowOff>
    </xdr:to>
    <xdr:sp>
      <xdr:nvSpPr>
        <xdr:cNvPr id="23225" name="Text Box 246"/>
        <xdr:cNvSpPr txBox="1">
          <a:spLocks noChangeArrowheads="1"/>
        </xdr:cNvSpPr>
      </xdr:nvSpPr>
      <xdr:spPr>
        <a:xfrm>
          <a:off x="504825" y="8584438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26" name="Text Box 241"/>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27" name="Text Box 242"/>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28" name="Text Box 243"/>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29" name="Text Box 244"/>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0" name="Text Box 245"/>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1" name="Text Box 246"/>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2" name="Text Box 241"/>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3" name="Text Box 242"/>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4" name="Text Box 243"/>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5" name="Text Box 244"/>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6" name="Text Box 245"/>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101</xdr:row>
      <xdr:rowOff>0</xdr:rowOff>
    </xdr:from>
    <xdr:to>
      <xdr:col>0</xdr:col>
      <xdr:colOff>514350</xdr:colOff>
      <xdr:row>101</xdr:row>
      <xdr:rowOff>9525</xdr:rowOff>
    </xdr:to>
    <xdr:sp>
      <xdr:nvSpPr>
        <xdr:cNvPr id="23237" name="Text Box 246"/>
        <xdr:cNvSpPr txBox="1">
          <a:spLocks noChangeArrowheads="1"/>
        </xdr:cNvSpPr>
      </xdr:nvSpPr>
      <xdr:spPr>
        <a:xfrm>
          <a:off x="504825" y="8787892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238" name="Text Box 241"/>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239" name="Text Box 242"/>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240" name="Text Box 243"/>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241" name="Text Box 244"/>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242" name="Text Box 245"/>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243" name="Text Box 246"/>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44" name="Text Box 241"/>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45" name="Text Box 242"/>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46" name="Text Box 243"/>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47" name="Text Box 244"/>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48" name="Text Box 245"/>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49" name="Text Box 246"/>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5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6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7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8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8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8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8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8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28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42</xdr:row>
      <xdr:rowOff>0</xdr:rowOff>
    </xdr:from>
    <xdr:to>
      <xdr:col>44</xdr:col>
      <xdr:colOff>390525</xdr:colOff>
      <xdr:row>42</xdr:row>
      <xdr:rowOff>0</xdr:rowOff>
    </xdr:to>
    <xdr:sp>
      <xdr:nvSpPr>
        <xdr:cNvPr id="23286" name="Text Box 241"/>
        <xdr:cNvSpPr txBox="1">
          <a:spLocks noChangeArrowheads="1"/>
        </xdr:cNvSpPr>
      </xdr:nvSpPr>
      <xdr:spPr>
        <a:xfrm>
          <a:off x="11715750" y="33848675"/>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42</xdr:row>
      <xdr:rowOff>0</xdr:rowOff>
    </xdr:from>
    <xdr:to>
      <xdr:col>44</xdr:col>
      <xdr:colOff>390525</xdr:colOff>
      <xdr:row>42</xdr:row>
      <xdr:rowOff>0</xdr:rowOff>
    </xdr:to>
    <xdr:sp>
      <xdr:nvSpPr>
        <xdr:cNvPr id="23287" name="Text Box 242"/>
        <xdr:cNvSpPr txBox="1">
          <a:spLocks noChangeArrowheads="1"/>
        </xdr:cNvSpPr>
      </xdr:nvSpPr>
      <xdr:spPr>
        <a:xfrm>
          <a:off x="11715750" y="33848675"/>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42</xdr:row>
      <xdr:rowOff>0</xdr:rowOff>
    </xdr:from>
    <xdr:to>
      <xdr:col>44</xdr:col>
      <xdr:colOff>390525</xdr:colOff>
      <xdr:row>42</xdr:row>
      <xdr:rowOff>0</xdr:rowOff>
    </xdr:to>
    <xdr:sp>
      <xdr:nvSpPr>
        <xdr:cNvPr id="23288" name="Text Box 243"/>
        <xdr:cNvSpPr txBox="1">
          <a:spLocks noChangeArrowheads="1"/>
        </xdr:cNvSpPr>
      </xdr:nvSpPr>
      <xdr:spPr>
        <a:xfrm>
          <a:off x="11715750" y="33848675"/>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42</xdr:row>
      <xdr:rowOff>0</xdr:rowOff>
    </xdr:from>
    <xdr:to>
      <xdr:col>44</xdr:col>
      <xdr:colOff>390525</xdr:colOff>
      <xdr:row>42</xdr:row>
      <xdr:rowOff>0</xdr:rowOff>
    </xdr:to>
    <xdr:sp>
      <xdr:nvSpPr>
        <xdr:cNvPr id="23289" name="Text Box 244"/>
        <xdr:cNvSpPr txBox="1">
          <a:spLocks noChangeArrowheads="1"/>
        </xdr:cNvSpPr>
      </xdr:nvSpPr>
      <xdr:spPr>
        <a:xfrm>
          <a:off x="11715750" y="33848675"/>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42</xdr:row>
      <xdr:rowOff>0</xdr:rowOff>
    </xdr:from>
    <xdr:to>
      <xdr:col>44</xdr:col>
      <xdr:colOff>390525</xdr:colOff>
      <xdr:row>42</xdr:row>
      <xdr:rowOff>0</xdr:rowOff>
    </xdr:to>
    <xdr:sp>
      <xdr:nvSpPr>
        <xdr:cNvPr id="23290" name="Text Box 245"/>
        <xdr:cNvSpPr txBox="1">
          <a:spLocks noChangeArrowheads="1"/>
        </xdr:cNvSpPr>
      </xdr:nvSpPr>
      <xdr:spPr>
        <a:xfrm>
          <a:off x="11715750" y="33848675"/>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42</xdr:row>
      <xdr:rowOff>0</xdr:rowOff>
    </xdr:from>
    <xdr:to>
      <xdr:col>44</xdr:col>
      <xdr:colOff>390525</xdr:colOff>
      <xdr:row>42</xdr:row>
      <xdr:rowOff>0</xdr:rowOff>
    </xdr:to>
    <xdr:sp>
      <xdr:nvSpPr>
        <xdr:cNvPr id="23291" name="Text Box 246"/>
        <xdr:cNvSpPr txBox="1">
          <a:spLocks noChangeArrowheads="1"/>
        </xdr:cNvSpPr>
      </xdr:nvSpPr>
      <xdr:spPr>
        <a:xfrm>
          <a:off x="11715750" y="33848675"/>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93</xdr:row>
      <xdr:rowOff>0</xdr:rowOff>
    </xdr:from>
    <xdr:to>
      <xdr:col>44</xdr:col>
      <xdr:colOff>390525</xdr:colOff>
      <xdr:row>93</xdr:row>
      <xdr:rowOff>9525</xdr:rowOff>
    </xdr:to>
    <xdr:sp>
      <xdr:nvSpPr>
        <xdr:cNvPr id="23292" name="Text Box 241"/>
        <xdr:cNvSpPr txBox="1">
          <a:spLocks noChangeArrowheads="1"/>
        </xdr:cNvSpPr>
      </xdr:nvSpPr>
      <xdr:spPr>
        <a:xfrm>
          <a:off x="11715750" y="797407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93</xdr:row>
      <xdr:rowOff>0</xdr:rowOff>
    </xdr:from>
    <xdr:to>
      <xdr:col>44</xdr:col>
      <xdr:colOff>390525</xdr:colOff>
      <xdr:row>93</xdr:row>
      <xdr:rowOff>9525</xdr:rowOff>
    </xdr:to>
    <xdr:sp>
      <xdr:nvSpPr>
        <xdr:cNvPr id="23293" name="Text Box 242"/>
        <xdr:cNvSpPr txBox="1">
          <a:spLocks noChangeArrowheads="1"/>
        </xdr:cNvSpPr>
      </xdr:nvSpPr>
      <xdr:spPr>
        <a:xfrm>
          <a:off x="11715750" y="797407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93</xdr:row>
      <xdr:rowOff>0</xdr:rowOff>
    </xdr:from>
    <xdr:to>
      <xdr:col>44</xdr:col>
      <xdr:colOff>390525</xdr:colOff>
      <xdr:row>93</xdr:row>
      <xdr:rowOff>9525</xdr:rowOff>
    </xdr:to>
    <xdr:sp>
      <xdr:nvSpPr>
        <xdr:cNvPr id="23294" name="Text Box 243"/>
        <xdr:cNvSpPr txBox="1">
          <a:spLocks noChangeArrowheads="1"/>
        </xdr:cNvSpPr>
      </xdr:nvSpPr>
      <xdr:spPr>
        <a:xfrm>
          <a:off x="11715750" y="797407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93</xdr:row>
      <xdr:rowOff>0</xdr:rowOff>
    </xdr:from>
    <xdr:to>
      <xdr:col>44</xdr:col>
      <xdr:colOff>390525</xdr:colOff>
      <xdr:row>93</xdr:row>
      <xdr:rowOff>9525</xdr:rowOff>
    </xdr:to>
    <xdr:sp>
      <xdr:nvSpPr>
        <xdr:cNvPr id="23295" name="Text Box 244"/>
        <xdr:cNvSpPr txBox="1">
          <a:spLocks noChangeArrowheads="1"/>
        </xdr:cNvSpPr>
      </xdr:nvSpPr>
      <xdr:spPr>
        <a:xfrm>
          <a:off x="11715750" y="797407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93</xdr:row>
      <xdr:rowOff>0</xdr:rowOff>
    </xdr:from>
    <xdr:to>
      <xdr:col>44</xdr:col>
      <xdr:colOff>390525</xdr:colOff>
      <xdr:row>93</xdr:row>
      <xdr:rowOff>9525</xdr:rowOff>
    </xdr:to>
    <xdr:sp>
      <xdr:nvSpPr>
        <xdr:cNvPr id="23296" name="Text Box 245"/>
        <xdr:cNvSpPr txBox="1">
          <a:spLocks noChangeArrowheads="1"/>
        </xdr:cNvSpPr>
      </xdr:nvSpPr>
      <xdr:spPr>
        <a:xfrm>
          <a:off x="11715750" y="797407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93</xdr:row>
      <xdr:rowOff>0</xdr:rowOff>
    </xdr:from>
    <xdr:to>
      <xdr:col>44</xdr:col>
      <xdr:colOff>390525</xdr:colOff>
      <xdr:row>93</xdr:row>
      <xdr:rowOff>9525</xdr:rowOff>
    </xdr:to>
    <xdr:sp>
      <xdr:nvSpPr>
        <xdr:cNvPr id="23297" name="Text Box 246"/>
        <xdr:cNvSpPr txBox="1">
          <a:spLocks noChangeArrowheads="1"/>
        </xdr:cNvSpPr>
      </xdr:nvSpPr>
      <xdr:spPr>
        <a:xfrm>
          <a:off x="11715750" y="797407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98" name="Text Box 241"/>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299" name="Text Box 242"/>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00" name="Text Box 243"/>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01" name="Text Box 244"/>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02" name="Text Box 245"/>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03" name="Text Box 246"/>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0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0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0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0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0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0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1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2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33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40" name="Text Box 241"/>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41" name="Text Box 242"/>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42" name="Text Box 243"/>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43" name="Text Box 244"/>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44" name="Text Box 245"/>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345" name="Text Box 246"/>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46"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47"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48"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49"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0"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1"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2"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3"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4"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5"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6"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7"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8"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59"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0"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1"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2"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3"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4"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5"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6"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7"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8"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69"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0"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1"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2"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3"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4"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5"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6"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7"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8"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79"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0"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1"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2"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3"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4"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5"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6"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7"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8"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89"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0"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1"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2"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3"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4"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5"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6"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7"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8"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399"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0"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1"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2"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3"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4"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5"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6"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7"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8"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09"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0"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1"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2"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3"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4"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5"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6"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7"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8"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19"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0"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1"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2"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3"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4"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5"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6"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7"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8"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29"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0"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1"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2"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3"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4"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5"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6"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7"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8"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39"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0"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1"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2"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3"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4"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5"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6"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7"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8" name="Text Box 241"/>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49" name="Text Box 242"/>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50" name="Text Box 243"/>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51" name="Text Box 244"/>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52" name="Text Box 245"/>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65</xdr:row>
      <xdr:rowOff>0</xdr:rowOff>
    </xdr:from>
    <xdr:to>
      <xdr:col>44</xdr:col>
      <xdr:colOff>781050</xdr:colOff>
      <xdr:row>65</xdr:row>
      <xdr:rowOff>9525</xdr:rowOff>
    </xdr:to>
    <xdr:sp>
      <xdr:nvSpPr>
        <xdr:cNvPr id="23453" name="Text Box 246"/>
        <xdr:cNvSpPr txBox="1">
          <a:spLocks noChangeArrowheads="1"/>
        </xdr:cNvSpPr>
      </xdr:nvSpPr>
      <xdr:spPr>
        <a:xfrm>
          <a:off x="11715750" y="529520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454" name="Text Box 241"/>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455" name="Text Box 242"/>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456" name="Text Box 243"/>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457" name="Text Box 244"/>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458" name="Text Box 245"/>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459" name="Text Box 246"/>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60" name="Text Box 241"/>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61" name="Text Box 242"/>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62" name="Text Box 243"/>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63" name="Text Box 244"/>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64" name="Text Box 245"/>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65" name="Text Box 246"/>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3466" name="Text Box 241"/>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3467" name="Text Box 242"/>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3468" name="Text Box 243"/>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3469" name="Text Box 244"/>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3470" name="Text Box 245"/>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3471" name="Text Box 246"/>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72" name="Text Box 241"/>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73" name="Text Box 242"/>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74" name="Text Box 243"/>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75" name="Text Box 244"/>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76" name="Text Box 245"/>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477" name="Text Box 246"/>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78" name="Text Box 241"/>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79" name="Text Box 242"/>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0" name="Text Box 243"/>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1" name="Text Box 244"/>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2" name="Text Box 245"/>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3" name="Text Box 246"/>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4" name="Text Box 241"/>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5" name="Text Box 242"/>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6" name="Text Box 243"/>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7" name="Text Box 244"/>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8" name="Text Box 245"/>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390525</xdr:colOff>
      <xdr:row>99</xdr:row>
      <xdr:rowOff>9525</xdr:rowOff>
    </xdr:to>
    <xdr:sp>
      <xdr:nvSpPr>
        <xdr:cNvPr id="23489" name="Text Box 246"/>
        <xdr:cNvSpPr txBox="1">
          <a:spLocks noChangeArrowheads="1"/>
        </xdr:cNvSpPr>
      </xdr:nvSpPr>
      <xdr:spPr>
        <a:xfrm>
          <a:off x="11715750" y="8584438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0" name="Text Box 241"/>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1" name="Text Box 242"/>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2" name="Text Box 243"/>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3" name="Text Box 244"/>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4" name="Text Box 245"/>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5" name="Text Box 246"/>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6" name="Text Box 241"/>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7" name="Text Box 242"/>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8" name="Text Box 243"/>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499" name="Text Box 244"/>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500" name="Text Box 245"/>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101</xdr:row>
      <xdr:rowOff>0</xdr:rowOff>
    </xdr:from>
    <xdr:to>
      <xdr:col>44</xdr:col>
      <xdr:colOff>390525</xdr:colOff>
      <xdr:row>101</xdr:row>
      <xdr:rowOff>9525</xdr:rowOff>
    </xdr:to>
    <xdr:sp>
      <xdr:nvSpPr>
        <xdr:cNvPr id="23501" name="Text Box 246"/>
        <xdr:cNvSpPr txBox="1">
          <a:spLocks noChangeArrowheads="1"/>
        </xdr:cNvSpPr>
      </xdr:nvSpPr>
      <xdr:spPr>
        <a:xfrm>
          <a:off x="11715750" y="87878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0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1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2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3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4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5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6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7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7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7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357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574" name="Text Box 241"/>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575" name="Text Box 242"/>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576" name="Text Box 243"/>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577" name="Text Box 244"/>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578" name="Text Box 245"/>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579" name="Text Box 246"/>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82</xdr:row>
      <xdr:rowOff>0</xdr:rowOff>
    </xdr:from>
    <xdr:to>
      <xdr:col>44</xdr:col>
      <xdr:colOff>390525</xdr:colOff>
      <xdr:row>82</xdr:row>
      <xdr:rowOff>9525</xdr:rowOff>
    </xdr:to>
    <xdr:sp>
      <xdr:nvSpPr>
        <xdr:cNvPr id="23580" name="Text Box 241"/>
        <xdr:cNvSpPr txBox="1">
          <a:spLocks noChangeArrowheads="1"/>
        </xdr:cNvSpPr>
      </xdr:nvSpPr>
      <xdr:spPr>
        <a:xfrm>
          <a:off x="11715750" y="686650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82</xdr:row>
      <xdr:rowOff>0</xdr:rowOff>
    </xdr:from>
    <xdr:to>
      <xdr:col>44</xdr:col>
      <xdr:colOff>390525</xdr:colOff>
      <xdr:row>82</xdr:row>
      <xdr:rowOff>9525</xdr:rowOff>
    </xdr:to>
    <xdr:sp>
      <xdr:nvSpPr>
        <xdr:cNvPr id="23581" name="Text Box 242"/>
        <xdr:cNvSpPr txBox="1">
          <a:spLocks noChangeArrowheads="1"/>
        </xdr:cNvSpPr>
      </xdr:nvSpPr>
      <xdr:spPr>
        <a:xfrm>
          <a:off x="11715750" y="686650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82</xdr:row>
      <xdr:rowOff>0</xdr:rowOff>
    </xdr:from>
    <xdr:to>
      <xdr:col>44</xdr:col>
      <xdr:colOff>390525</xdr:colOff>
      <xdr:row>82</xdr:row>
      <xdr:rowOff>9525</xdr:rowOff>
    </xdr:to>
    <xdr:sp>
      <xdr:nvSpPr>
        <xdr:cNvPr id="23582" name="Text Box 243"/>
        <xdr:cNvSpPr txBox="1">
          <a:spLocks noChangeArrowheads="1"/>
        </xdr:cNvSpPr>
      </xdr:nvSpPr>
      <xdr:spPr>
        <a:xfrm>
          <a:off x="11715750" y="686650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82</xdr:row>
      <xdr:rowOff>0</xdr:rowOff>
    </xdr:from>
    <xdr:to>
      <xdr:col>44</xdr:col>
      <xdr:colOff>390525</xdr:colOff>
      <xdr:row>82</xdr:row>
      <xdr:rowOff>9525</xdr:rowOff>
    </xdr:to>
    <xdr:sp>
      <xdr:nvSpPr>
        <xdr:cNvPr id="23583" name="Text Box 244"/>
        <xdr:cNvSpPr txBox="1">
          <a:spLocks noChangeArrowheads="1"/>
        </xdr:cNvSpPr>
      </xdr:nvSpPr>
      <xdr:spPr>
        <a:xfrm>
          <a:off x="11715750" y="686650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82</xdr:row>
      <xdr:rowOff>0</xdr:rowOff>
    </xdr:from>
    <xdr:to>
      <xdr:col>44</xdr:col>
      <xdr:colOff>390525</xdr:colOff>
      <xdr:row>82</xdr:row>
      <xdr:rowOff>9525</xdr:rowOff>
    </xdr:to>
    <xdr:sp>
      <xdr:nvSpPr>
        <xdr:cNvPr id="23584" name="Text Box 245"/>
        <xdr:cNvSpPr txBox="1">
          <a:spLocks noChangeArrowheads="1"/>
        </xdr:cNvSpPr>
      </xdr:nvSpPr>
      <xdr:spPr>
        <a:xfrm>
          <a:off x="11715750" y="686650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82</xdr:row>
      <xdr:rowOff>0</xdr:rowOff>
    </xdr:from>
    <xdr:to>
      <xdr:col>44</xdr:col>
      <xdr:colOff>390525</xdr:colOff>
      <xdr:row>82</xdr:row>
      <xdr:rowOff>9525</xdr:rowOff>
    </xdr:to>
    <xdr:sp>
      <xdr:nvSpPr>
        <xdr:cNvPr id="23585" name="Text Box 246"/>
        <xdr:cNvSpPr txBox="1">
          <a:spLocks noChangeArrowheads="1"/>
        </xdr:cNvSpPr>
      </xdr:nvSpPr>
      <xdr:spPr>
        <a:xfrm>
          <a:off x="11715750" y="686650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86" name="Text Box 241"/>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87" name="Text Box 242"/>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88" name="Text Box 243"/>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89" name="Text Box 244"/>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90" name="Text Box 245"/>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91" name="Text Box 246"/>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3592"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3593"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3594"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3595"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3596"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3597"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98" name="Text Box 241"/>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599" name="Text Box 242"/>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00" name="Text Box 243"/>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01" name="Text Box 244"/>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02" name="Text Box 245"/>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03" name="Text Box 246"/>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604" name="Text Box 241"/>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605" name="Text Box 242"/>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606" name="Text Box 243"/>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607" name="Text Box 244"/>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608" name="Text Box 245"/>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100</xdr:row>
      <xdr:rowOff>0</xdr:rowOff>
    </xdr:from>
    <xdr:to>
      <xdr:col>44</xdr:col>
      <xdr:colOff>390525</xdr:colOff>
      <xdr:row>100</xdr:row>
      <xdr:rowOff>9525</xdr:rowOff>
    </xdr:to>
    <xdr:sp>
      <xdr:nvSpPr>
        <xdr:cNvPr id="23609" name="Text Box 246"/>
        <xdr:cNvSpPr txBox="1">
          <a:spLocks noChangeArrowheads="1"/>
        </xdr:cNvSpPr>
      </xdr:nvSpPr>
      <xdr:spPr>
        <a:xfrm>
          <a:off x="11715750" y="8686165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10" name="Text Box 241"/>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11" name="Text Box 242"/>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12" name="Text Box 243"/>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13" name="Text Box 244"/>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14" name="Text Box 245"/>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390525</xdr:colOff>
      <xdr:row>111</xdr:row>
      <xdr:rowOff>9525</xdr:rowOff>
    </xdr:to>
    <xdr:sp>
      <xdr:nvSpPr>
        <xdr:cNvPr id="23615" name="Text Box 246"/>
        <xdr:cNvSpPr txBox="1">
          <a:spLocks noChangeArrowheads="1"/>
        </xdr:cNvSpPr>
      </xdr:nvSpPr>
      <xdr:spPr>
        <a:xfrm>
          <a:off x="11715750" y="980516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1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1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1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1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2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3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4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5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6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6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6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6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29</xdr:row>
      <xdr:rowOff>0</xdr:rowOff>
    </xdr:from>
    <xdr:to>
      <xdr:col>44</xdr:col>
      <xdr:colOff>781050</xdr:colOff>
      <xdr:row>29</xdr:row>
      <xdr:rowOff>9525</xdr:rowOff>
    </xdr:to>
    <xdr:sp>
      <xdr:nvSpPr>
        <xdr:cNvPr id="23664" name="Text Box 241"/>
        <xdr:cNvSpPr txBox="1">
          <a:spLocks noChangeArrowheads="1"/>
        </xdr:cNvSpPr>
      </xdr:nvSpPr>
      <xdr:spPr>
        <a:xfrm>
          <a:off x="11715750" y="236277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29</xdr:row>
      <xdr:rowOff>0</xdr:rowOff>
    </xdr:from>
    <xdr:to>
      <xdr:col>44</xdr:col>
      <xdr:colOff>781050</xdr:colOff>
      <xdr:row>29</xdr:row>
      <xdr:rowOff>9525</xdr:rowOff>
    </xdr:to>
    <xdr:sp>
      <xdr:nvSpPr>
        <xdr:cNvPr id="23665" name="Text Box 242"/>
        <xdr:cNvSpPr txBox="1">
          <a:spLocks noChangeArrowheads="1"/>
        </xdr:cNvSpPr>
      </xdr:nvSpPr>
      <xdr:spPr>
        <a:xfrm>
          <a:off x="11715750" y="236277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29</xdr:row>
      <xdr:rowOff>0</xdr:rowOff>
    </xdr:from>
    <xdr:to>
      <xdr:col>44</xdr:col>
      <xdr:colOff>781050</xdr:colOff>
      <xdr:row>29</xdr:row>
      <xdr:rowOff>9525</xdr:rowOff>
    </xdr:to>
    <xdr:sp>
      <xdr:nvSpPr>
        <xdr:cNvPr id="23666" name="Text Box 243"/>
        <xdr:cNvSpPr txBox="1">
          <a:spLocks noChangeArrowheads="1"/>
        </xdr:cNvSpPr>
      </xdr:nvSpPr>
      <xdr:spPr>
        <a:xfrm>
          <a:off x="11715750" y="236277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29</xdr:row>
      <xdr:rowOff>0</xdr:rowOff>
    </xdr:from>
    <xdr:to>
      <xdr:col>44</xdr:col>
      <xdr:colOff>781050</xdr:colOff>
      <xdr:row>29</xdr:row>
      <xdr:rowOff>9525</xdr:rowOff>
    </xdr:to>
    <xdr:sp>
      <xdr:nvSpPr>
        <xdr:cNvPr id="23667" name="Text Box 244"/>
        <xdr:cNvSpPr txBox="1">
          <a:spLocks noChangeArrowheads="1"/>
        </xdr:cNvSpPr>
      </xdr:nvSpPr>
      <xdr:spPr>
        <a:xfrm>
          <a:off x="11715750" y="236277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29</xdr:row>
      <xdr:rowOff>0</xdr:rowOff>
    </xdr:from>
    <xdr:to>
      <xdr:col>44</xdr:col>
      <xdr:colOff>781050</xdr:colOff>
      <xdr:row>29</xdr:row>
      <xdr:rowOff>9525</xdr:rowOff>
    </xdr:to>
    <xdr:sp>
      <xdr:nvSpPr>
        <xdr:cNvPr id="23668" name="Text Box 245"/>
        <xdr:cNvSpPr txBox="1">
          <a:spLocks noChangeArrowheads="1"/>
        </xdr:cNvSpPr>
      </xdr:nvSpPr>
      <xdr:spPr>
        <a:xfrm>
          <a:off x="11715750" y="236277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29</xdr:row>
      <xdr:rowOff>0</xdr:rowOff>
    </xdr:from>
    <xdr:to>
      <xdr:col>44</xdr:col>
      <xdr:colOff>781050</xdr:colOff>
      <xdr:row>29</xdr:row>
      <xdr:rowOff>9525</xdr:rowOff>
    </xdr:to>
    <xdr:sp>
      <xdr:nvSpPr>
        <xdr:cNvPr id="23669" name="Text Box 246"/>
        <xdr:cNvSpPr txBox="1">
          <a:spLocks noChangeArrowheads="1"/>
        </xdr:cNvSpPr>
      </xdr:nvSpPr>
      <xdr:spPr>
        <a:xfrm>
          <a:off x="11715750" y="236277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7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8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9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9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9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69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694" name="Text Box 241"/>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695" name="Text Box 242"/>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696" name="Text Box 243"/>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697" name="Text Box 244"/>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698" name="Text Box 245"/>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699" name="Text Box 246"/>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0" name="Text Box 241"/>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1" name="Text Box 242"/>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2" name="Text Box 243"/>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3" name="Text Box 244"/>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4" name="Text Box 245"/>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5" name="Text Box 246"/>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6" name="Text Box 241"/>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7" name="Text Box 242"/>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8" name="Text Box 243"/>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09" name="Text Box 244"/>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10" name="Text Box 245"/>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11" name="Text Box 246"/>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3712" name="Text Box 241"/>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3713" name="Text Box 242"/>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3714" name="Text Box 243"/>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3715" name="Text Box 244"/>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3716" name="Text Box 245"/>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3717" name="Text Box 246"/>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18" name="Text Box 241"/>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19" name="Text Box 242"/>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0" name="Text Box 243"/>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1" name="Text Box 244"/>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2" name="Text Box 245"/>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3" name="Text Box 246"/>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4" name="Text Box 241"/>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5" name="Text Box 242"/>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6" name="Text Box 243"/>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7" name="Text Box 244"/>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8" name="Text Box 245"/>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781050</xdr:colOff>
      <xdr:row>111</xdr:row>
      <xdr:rowOff>9525</xdr:rowOff>
    </xdr:to>
    <xdr:sp>
      <xdr:nvSpPr>
        <xdr:cNvPr id="23729" name="Text Box 246"/>
        <xdr:cNvSpPr txBox="1">
          <a:spLocks noChangeArrowheads="1"/>
        </xdr:cNvSpPr>
      </xdr:nvSpPr>
      <xdr:spPr>
        <a:xfrm>
          <a:off x="11715750" y="980516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781050</xdr:colOff>
      <xdr:row>99</xdr:row>
      <xdr:rowOff>9525</xdr:rowOff>
    </xdr:to>
    <xdr:sp>
      <xdr:nvSpPr>
        <xdr:cNvPr id="23730" name="Text Box 241"/>
        <xdr:cNvSpPr txBox="1">
          <a:spLocks noChangeArrowheads="1"/>
        </xdr:cNvSpPr>
      </xdr:nvSpPr>
      <xdr:spPr>
        <a:xfrm>
          <a:off x="11715750" y="8584438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781050</xdr:colOff>
      <xdr:row>99</xdr:row>
      <xdr:rowOff>9525</xdr:rowOff>
    </xdr:to>
    <xdr:sp>
      <xdr:nvSpPr>
        <xdr:cNvPr id="23731" name="Text Box 242"/>
        <xdr:cNvSpPr txBox="1">
          <a:spLocks noChangeArrowheads="1"/>
        </xdr:cNvSpPr>
      </xdr:nvSpPr>
      <xdr:spPr>
        <a:xfrm>
          <a:off x="11715750" y="8584438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781050</xdr:colOff>
      <xdr:row>99</xdr:row>
      <xdr:rowOff>9525</xdr:rowOff>
    </xdr:to>
    <xdr:sp>
      <xdr:nvSpPr>
        <xdr:cNvPr id="23732" name="Text Box 243"/>
        <xdr:cNvSpPr txBox="1">
          <a:spLocks noChangeArrowheads="1"/>
        </xdr:cNvSpPr>
      </xdr:nvSpPr>
      <xdr:spPr>
        <a:xfrm>
          <a:off x="11715750" y="8584438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781050</xdr:colOff>
      <xdr:row>99</xdr:row>
      <xdr:rowOff>9525</xdr:rowOff>
    </xdr:to>
    <xdr:sp>
      <xdr:nvSpPr>
        <xdr:cNvPr id="23733" name="Text Box 244"/>
        <xdr:cNvSpPr txBox="1">
          <a:spLocks noChangeArrowheads="1"/>
        </xdr:cNvSpPr>
      </xdr:nvSpPr>
      <xdr:spPr>
        <a:xfrm>
          <a:off x="11715750" y="8584438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781050</xdr:colOff>
      <xdr:row>99</xdr:row>
      <xdr:rowOff>9525</xdr:rowOff>
    </xdr:to>
    <xdr:sp>
      <xdr:nvSpPr>
        <xdr:cNvPr id="23734" name="Text Box 245"/>
        <xdr:cNvSpPr txBox="1">
          <a:spLocks noChangeArrowheads="1"/>
        </xdr:cNvSpPr>
      </xdr:nvSpPr>
      <xdr:spPr>
        <a:xfrm>
          <a:off x="11715750" y="8584438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99</xdr:row>
      <xdr:rowOff>0</xdr:rowOff>
    </xdr:from>
    <xdr:to>
      <xdr:col>44</xdr:col>
      <xdr:colOff>781050</xdr:colOff>
      <xdr:row>99</xdr:row>
      <xdr:rowOff>9525</xdr:rowOff>
    </xdr:to>
    <xdr:sp>
      <xdr:nvSpPr>
        <xdr:cNvPr id="23735" name="Text Box 246"/>
        <xdr:cNvSpPr txBox="1">
          <a:spLocks noChangeArrowheads="1"/>
        </xdr:cNvSpPr>
      </xdr:nvSpPr>
      <xdr:spPr>
        <a:xfrm>
          <a:off x="11715750" y="8584438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3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3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3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3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4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5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6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7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377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7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8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79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0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1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2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3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4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5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6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7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8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89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0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1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2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3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4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5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6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7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8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399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0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1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2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3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4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4"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5"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6"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7"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8"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59"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0"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1"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2"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3"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4"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5"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6"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7"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8"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69"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0"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1"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2"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3"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4"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5"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6"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7"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8" name="Text Box 241"/>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79" name="Text Box 242"/>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80" name="Text Box 243"/>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81" name="Text Box 244"/>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82" name="Text Box 245"/>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111</xdr:row>
      <xdr:rowOff>0</xdr:rowOff>
    </xdr:from>
    <xdr:to>
      <xdr:col>44</xdr:col>
      <xdr:colOff>790575</xdr:colOff>
      <xdr:row>111</xdr:row>
      <xdr:rowOff>9525</xdr:rowOff>
    </xdr:to>
    <xdr:sp>
      <xdr:nvSpPr>
        <xdr:cNvPr id="24083" name="Text Box 246"/>
        <xdr:cNvSpPr txBox="1">
          <a:spLocks noChangeArrowheads="1"/>
        </xdr:cNvSpPr>
      </xdr:nvSpPr>
      <xdr:spPr>
        <a:xfrm>
          <a:off x="11715750" y="980516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8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8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8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8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8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8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09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10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10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2" name="Text Box 241"/>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3" name="Text Box 242"/>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4" name="Text Box 243"/>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5" name="Text Box 244"/>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6" name="Text Box 245"/>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7" name="Text Box 246"/>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8" name="Text Box 241"/>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09" name="Text Box 242"/>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10" name="Text Box 243"/>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11" name="Text Box 244"/>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12" name="Text Box 245"/>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4113" name="Text Box 246"/>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4114" name="Text Box 241"/>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4115" name="Text Box 242"/>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4116" name="Text Box 243"/>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4117" name="Text Box 244"/>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4118" name="Text Box 245"/>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4119" name="Text Box 246"/>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20"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21"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22"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23"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24"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25"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4126" name="Text Box 241"/>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4127" name="Text Box 242"/>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4128" name="Text Box 243"/>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4129" name="Text Box 244"/>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4130" name="Text Box 245"/>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4131" name="Text Box 246"/>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2"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3"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4"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5"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6"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7"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8"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39"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40"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41"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42"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4143"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4144" name="Text Box 241"/>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4145" name="Text Box 242"/>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4146" name="Text Box 243"/>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4147" name="Text Box 244"/>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4148" name="Text Box 245"/>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4149" name="Text Box 246"/>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5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6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7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8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19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0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1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2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3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4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5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6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7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8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29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0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1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2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3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4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5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6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7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8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39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0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1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2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3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4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5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6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446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102</xdr:row>
      <xdr:rowOff>0</xdr:rowOff>
    </xdr:from>
    <xdr:to>
      <xdr:col>0</xdr:col>
      <xdr:colOff>514350</xdr:colOff>
      <xdr:row>102</xdr:row>
      <xdr:rowOff>9525</xdr:rowOff>
    </xdr:to>
    <xdr:sp>
      <xdr:nvSpPr>
        <xdr:cNvPr id="24462" name="Text Box 241"/>
        <xdr:cNvSpPr txBox="1">
          <a:spLocks noChangeArrowheads="1"/>
        </xdr:cNvSpPr>
      </xdr:nvSpPr>
      <xdr:spPr>
        <a:xfrm>
          <a:off x="504825" y="8889619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102</xdr:row>
      <xdr:rowOff>0</xdr:rowOff>
    </xdr:from>
    <xdr:to>
      <xdr:col>0</xdr:col>
      <xdr:colOff>514350</xdr:colOff>
      <xdr:row>102</xdr:row>
      <xdr:rowOff>9525</xdr:rowOff>
    </xdr:to>
    <xdr:sp>
      <xdr:nvSpPr>
        <xdr:cNvPr id="24463" name="Text Box 242"/>
        <xdr:cNvSpPr txBox="1">
          <a:spLocks noChangeArrowheads="1"/>
        </xdr:cNvSpPr>
      </xdr:nvSpPr>
      <xdr:spPr>
        <a:xfrm>
          <a:off x="504825" y="8889619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102</xdr:row>
      <xdr:rowOff>0</xdr:rowOff>
    </xdr:from>
    <xdr:to>
      <xdr:col>0</xdr:col>
      <xdr:colOff>514350</xdr:colOff>
      <xdr:row>102</xdr:row>
      <xdr:rowOff>9525</xdr:rowOff>
    </xdr:to>
    <xdr:sp>
      <xdr:nvSpPr>
        <xdr:cNvPr id="24464" name="Text Box 243"/>
        <xdr:cNvSpPr txBox="1">
          <a:spLocks noChangeArrowheads="1"/>
        </xdr:cNvSpPr>
      </xdr:nvSpPr>
      <xdr:spPr>
        <a:xfrm>
          <a:off x="504825" y="8889619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102</xdr:row>
      <xdr:rowOff>0</xdr:rowOff>
    </xdr:from>
    <xdr:to>
      <xdr:col>0</xdr:col>
      <xdr:colOff>514350</xdr:colOff>
      <xdr:row>102</xdr:row>
      <xdr:rowOff>9525</xdr:rowOff>
    </xdr:to>
    <xdr:sp>
      <xdr:nvSpPr>
        <xdr:cNvPr id="24465" name="Text Box 244"/>
        <xdr:cNvSpPr txBox="1">
          <a:spLocks noChangeArrowheads="1"/>
        </xdr:cNvSpPr>
      </xdr:nvSpPr>
      <xdr:spPr>
        <a:xfrm>
          <a:off x="504825" y="8889619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102</xdr:row>
      <xdr:rowOff>0</xdr:rowOff>
    </xdr:from>
    <xdr:to>
      <xdr:col>0</xdr:col>
      <xdr:colOff>514350</xdr:colOff>
      <xdr:row>102</xdr:row>
      <xdr:rowOff>9525</xdr:rowOff>
    </xdr:to>
    <xdr:sp>
      <xdr:nvSpPr>
        <xdr:cNvPr id="24466" name="Text Box 245"/>
        <xdr:cNvSpPr txBox="1">
          <a:spLocks noChangeArrowheads="1"/>
        </xdr:cNvSpPr>
      </xdr:nvSpPr>
      <xdr:spPr>
        <a:xfrm>
          <a:off x="504825" y="8889619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102</xdr:row>
      <xdr:rowOff>0</xdr:rowOff>
    </xdr:from>
    <xdr:to>
      <xdr:col>0</xdr:col>
      <xdr:colOff>514350</xdr:colOff>
      <xdr:row>102</xdr:row>
      <xdr:rowOff>9525</xdr:rowOff>
    </xdr:to>
    <xdr:sp>
      <xdr:nvSpPr>
        <xdr:cNvPr id="24467" name="Text Box 246"/>
        <xdr:cNvSpPr txBox="1">
          <a:spLocks noChangeArrowheads="1"/>
        </xdr:cNvSpPr>
      </xdr:nvSpPr>
      <xdr:spPr>
        <a:xfrm>
          <a:off x="504825" y="8889619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68" name="Text Box 241"/>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69" name="Text Box 242"/>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0" name="Text Box 243"/>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1" name="Text Box 244"/>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2" name="Text Box 245"/>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3" name="Text Box 246"/>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4" name="Text Box 241"/>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5" name="Text Box 242"/>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6" name="Text Box 243"/>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7" name="Text Box 244"/>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8" name="Text Box 245"/>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4479" name="Text Box 246"/>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480" name="Text Box 241"/>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481" name="Text Box 242"/>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482" name="Text Box 243"/>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483" name="Text Box 244"/>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484" name="Text Box 245"/>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485" name="Text Box 246"/>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486" name="Text Box 241"/>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487" name="Text Box 242"/>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488" name="Text Box 243"/>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489" name="Text Box 244"/>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490" name="Text Box 245"/>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491" name="Text Box 246"/>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49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0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1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2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50</xdr:row>
      <xdr:rowOff>0</xdr:rowOff>
    </xdr:from>
    <xdr:to>
      <xdr:col>44</xdr:col>
      <xdr:colOff>390525</xdr:colOff>
      <xdr:row>50</xdr:row>
      <xdr:rowOff>9525</xdr:rowOff>
    </xdr:to>
    <xdr:sp>
      <xdr:nvSpPr>
        <xdr:cNvPr id="24528" name="Text Box 241"/>
        <xdr:cNvSpPr txBox="1">
          <a:spLocks noChangeArrowheads="1"/>
        </xdr:cNvSpPr>
      </xdr:nvSpPr>
      <xdr:spPr>
        <a:xfrm>
          <a:off x="11715750" y="4019613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50</xdr:row>
      <xdr:rowOff>0</xdr:rowOff>
    </xdr:from>
    <xdr:to>
      <xdr:col>44</xdr:col>
      <xdr:colOff>390525</xdr:colOff>
      <xdr:row>50</xdr:row>
      <xdr:rowOff>9525</xdr:rowOff>
    </xdr:to>
    <xdr:sp>
      <xdr:nvSpPr>
        <xdr:cNvPr id="24529" name="Text Box 242"/>
        <xdr:cNvSpPr txBox="1">
          <a:spLocks noChangeArrowheads="1"/>
        </xdr:cNvSpPr>
      </xdr:nvSpPr>
      <xdr:spPr>
        <a:xfrm>
          <a:off x="11715750" y="4019613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50</xdr:row>
      <xdr:rowOff>0</xdr:rowOff>
    </xdr:from>
    <xdr:to>
      <xdr:col>44</xdr:col>
      <xdr:colOff>390525</xdr:colOff>
      <xdr:row>50</xdr:row>
      <xdr:rowOff>9525</xdr:rowOff>
    </xdr:to>
    <xdr:sp>
      <xdr:nvSpPr>
        <xdr:cNvPr id="24530" name="Text Box 243"/>
        <xdr:cNvSpPr txBox="1">
          <a:spLocks noChangeArrowheads="1"/>
        </xdr:cNvSpPr>
      </xdr:nvSpPr>
      <xdr:spPr>
        <a:xfrm>
          <a:off x="11715750" y="4019613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50</xdr:row>
      <xdr:rowOff>0</xdr:rowOff>
    </xdr:from>
    <xdr:to>
      <xdr:col>44</xdr:col>
      <xdr:colOff>390525</xdr:colOff>
      <xdr:row>50</xdr:row>
      <xdr:rowOff>9525</xdr:rowOff>
    </xdr:to>
    <xdr:sp>
      <xdr:nvSpPr>
        <xdr:cNvPr id="24531" name="Text Box 244"/>
        <xdr:cNvSpPr txBox="1">
          <a:spLocks noChangeArrowheads="1"/>
        </xdr:cNvSpPr>
      </xdr:nvSpPr>
      <xdr:spPr>
        <a:xfrm>
          <a:off x="11715750" y="4019613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50</xdr:row>
      <xdr:rowOff>0</xdr:rowOff>
    </xdr:from>
    <xdr:to>
      <xdr:col>44</xdr:col>
      <xdr:colOff>390525</xdr:colOff>
      <xdr:row>50</xdr:row>
      <xdr:rowOff>9525</xdr:rowOff>
    </xdr:to>
    <xdr:sp>
      <xdr:nvSpPr>
        <xdr:cNvPr id="24532" name="Text Box 245"/>
        <xdr:cNvSpPr txBox="1">
          <a:spLocks noChangeArrowheads="1"/>
        </xdr:cNvSpPr>
      </xdr:nvSpPr>
      <xdr:spPr>
        <a:xfrm>
          <a:off x="11715750" y="4019613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50</xdr:row>
      <xdr:rowOff>0</xdr:rowOff>
    </xdr:from>
    <xdr:to>
      <xdr:col>44</xdr:col>
      <xdr:colOff>390525</xdr:colOff>
      <xdr:row>50</xdr:row>
      <xdr:rowOff>9525</xdr:rowOff>
    </xdr:to>
    <xdr:sp>
      <xdr:nvSpPr>
        <xdr:cNvPr id="24533" name="Text Box 246"/>
        <xdr:cNvSpPr txBox="1">
          <a:spLocks noChangeArrowheads="1"/>
        </xdr:cNvSpPr>
      </xdr:nvSpPr>
      <xdr:spPr>
        <a:xfrm>
          <a:off x="11715750" y="4019613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91</xdr:row>
      <xdr:rowOff>0</xdr:rowOff>
    </xdr:from>
    <xdr:to>
      <xdr:col>44</xdr:col>
      <xdr:colOff>390525</xdr:colOff>
      <xdr:row>91</xdr:row>
      <xdr:rowOff>9525</xdr:rowOff>
    </xdr:to>
    <xdr:sp>
      <xdr:nvSpPr>
        <xdr:cNvPr id="24534" name="Text Box 241"/>
        <xdr:cNvSpPr txBox="1">
          <a:spLocks noChangeArrowheads="1"/>
        </xdr:cNvSpPr>
      </xdr:nvSpPr>
      <xdr:spPr>
        <a:xfrm>
          <a:off x="11715750" y="777062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91</xdr:row>
      <xdr:rowOff>0</xdr:rowOff>
    </xdr:from>
    <xdr:to>
      <xdr:col>44</xdr:col>
      <xdr:colOff>390525</xdr:colOff>
      <xdr:row>91</xdr:row>
      <xdr:rowOff>9525</xdr:rowOff>
    </xdr:to>
    <xdr:sp>
      <xdr:nvSpPr>
        <xdr:cNvPr id="24535" name="Text Box 242"/>
        <xdr:cNvSpPr txBox="1">
          <a:spLocks noChangeArrowheads="1"/>
        </xdr:cNvSpPr>
      </xdr:nvSpPr>
      <xdr:spPr>
        <a:xfrm>
          <a:off x="11715750" y="777062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91</xdr:row>
      <xdr:rowOff>0</xdr:rowOff>
    </xdr:from>
    <xdr:to>
      <xdr:col>44</xdr:col>
      <xdr:colOff>390525</xdr:colOff>
      <xdr:row>91</xdr:row>
      <xdr:rowOff>9525</xdr:rowOff>
    </xdr:to>
    <xdr:sp>
      <xdr:nvSpPr>
        <xdr:cNvPr id="24536" name="Text Box 243"/>
        <xdr:cNvSpPr txBox="1">
          <a:spLocks noChangeArrowheads="1"/>
        </xdr:cNvSpPr>
      </xdr:nvSpPr>
      <xdr:spPr>
        <a:xfrm>
          <a:off x="11715750" y="777062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91</xdr:row>
      <xdr:rowOff>0</xdr:rowOff>
    </xdr:from>
    <xdr:to>
      <xdr:col>44</xdr:col>
      <xdr:colOff>390525</xdr:colOff>
      <xdr:row>91</xdr:row>
      <xdr:rowOff>9525</xdr:rowOff>
    </xdr:to>
    <xdr:sp>
      <xdr:nvSpPr>
        <xdr:cNvPr id="24537" name="Text Box 244"/>
        <xdr:cNvSpPr txBox="1">
          <a:spLocks noChangeArrowheads="1"/>
        </xdr:cNvSpPr>
      </xdr:nvSpPr>
      <xdr:spPr>
        <a:xfrm>
          <a:off x="11715750" y="777062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91</xdr:row>
      <xdr:rowOff>0</xdr:rowOff>
    </xdr:from>
    <xdr:to>
      <xdr:col>44</xdr:col>
      <xdr:colOff>390525</xdr:colOff>
      <xdr:row>91</xdr:row>
      <xdr:rowOff>9525</xdr:rowOff>
    </xdr:to>
    <xdr:sp>
      <xdr:nvSpPr>
        <xdr:cNvPr id="24538" name="Text Box 245"/>
        <xdr:cNvSpPr txBox="1">
          <a:spLocks noChangeArrowheads="1"/>
        </xdr:cNvSpPr>
      </xdr:nvSpPr>
      <xdr:spPr>
        <a:xfrm>
          <a:off x="11715750" y="777062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91</xdr:row>
      <xdr:rowOff>0</xdr:rowOff>
    </xdr:from>
    <xdr:to>
      <xdr:col>44</xdr:col>
      <xdr:colOff>390525</xdr:colOff>
      <xdr:row>91</xdr:row>
      <xdr:rowOff>9525</xdr:rowOff>
    </xdr:to>
    <xdr:sp>
      <xdr:nvSpPr>
        <xdr:cNvPr id="24539" name="Text Box 246"/>
        <xdr:cNvSpPr txBox="1">
          <a:spLocks noChangeArrowheads="1"/>
        </xdr:cNvSpPr>
      </xdr:nvSpPr>
      <xdr:spPr>
        <a:xfrm>
          <a:off x="11715750" y="777062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40" name="Text Box 241"/>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41" name="Text Box 242"/>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42" name="Text Box 243"/>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43" name="Text Box 244"/>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44" name="Text Box 245"/>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45" name="Text Box 246"/>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4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4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4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4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5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6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7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8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58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82" name="Text Box 241"/>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83" name="Text Box 242"/>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84" name="Text Box 243"/>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85" name="Text Box 244"/>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86" name="Text Box 245"/>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587" name="Text Box 246"/>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88"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89"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0"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1"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2"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3"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4"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5"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6"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7"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8"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599"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0"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1"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2"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3"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4"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5"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6"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7"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8"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09"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0"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1"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2"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3"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4"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5"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6"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7"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8"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19"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0"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1"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2"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3"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4"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5"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6"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7"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8"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29"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0"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1"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2"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3"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4"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5"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6"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7"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8"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39"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0"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1"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2"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3"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4"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5"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6"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7"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8"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49"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0"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1"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2"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3"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4"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5"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6"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7"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8"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59"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0"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1"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2"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3"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4"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5"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6"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7"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8"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69"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0"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1"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2"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3"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4"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5"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6"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7"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8"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79"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0"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1"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2"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3"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4"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5"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6"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7"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8"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89"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90" name="Text Box 241"/>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91" name="Text Box 242"/>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92" name="Text Box 243"/>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93" name="Text Box 244"/>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94" name="Text Box 245"/>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75</xdr:row>
      <xdr:rowOff>0</xdr:rowOff>
    </xdr:from>
    <xdr:to>
      <xdr:col>44</xdr:col>
      <xdr:colOff>781050</xdr:colOff>
      <xdr:row>75</xdr:row>
      <xdr:rowOff>9525</xdr:rowOff>
    </xdr:to>
    <xdr:sp>
      <xdr:nvSpPr>
        <xdr:cNvPr id="24695" name="Text Box 246"/>
        <xdr:cNvSpPr txBox="1">
          <a:spLocks noChangeArrowheads="1"/>
        </xdr:cNvSpPr>
      </xdr:nvSpPr>
      <xdr:spPr>
        <a:xfrm>
          <a:off x="11715750" y="62348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696"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697"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698"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699"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00"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01"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02" name="Text Box 241"/>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03" name="Text Box 242"/>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04" name="Text Box 243"/>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05" name="Text Box 244"/>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06" name="Text Box 245"/>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07" name="Text Box 246"/>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708"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709"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710"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711"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712"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713"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14" name="Text Box 241"/>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15" name="Text Box 242"/>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16" name="Text Box 243"/>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17" name="Text Box 244"/>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18" name="Text Box 245"/>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719" name="Text Box 246"/>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0" name="Text Box 241"/>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1" name="Text Box 242"/>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2" name="Text Box 243"/>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3" name="Text Box 244"/>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4" name="Text Box 245"/>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5" name="Text Box 246"/>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6" name="Text Box 241"/>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7" name="Text Box 242"/>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8" name="Text Box 243"/>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29" name="Text Box 244"/>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30" name="Text Box 245"/>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390525</xdr:colOff>
      <xdr:row>102</xdr:row>
      <xdr:rowOff>9525</xdr:rowOff>
    </xdr:to>
    <xdr:sp>
      <xdr:nvSpPr>
        <xdr:cNvPr id="24731" name="Text Box 246"/>
        <xdr:cNvSpPr txBox="1">
          <a:spLocks noChangeArrowheads="1"/>
        </xdr:cNvSpPr>
      </xdr:nvSpPr>
      <xdr:spPr>
        <a:xfrm>
          <a:off x="11715750" y="888961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2"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3"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4"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5"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6"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7"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8"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39"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40"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41"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42"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743"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4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4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4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4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4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4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5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6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7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8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79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0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1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1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1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1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1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481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16"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17"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18"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19"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20"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21"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4822"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4823"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4824"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4825"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4826"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4827"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28" name="Text Box 241"/>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29" name="Text Box 242"/>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30" name="Text Box 243"/>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31" name="Text Box 244"/>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32" name="Text Box 245"/>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33" name="Text Box 246"/>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834"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835"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836"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837"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838"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4839"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40" name="Text Box 241"/>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41" name="Text Box 242"/>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42" name="Text Box 243"/>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43" name="Text Box 244"/>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44" name="Text Box 245"/>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45" name="Text Box 246"/>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46"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47"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48"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49"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50"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4851"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52" name="Text Box 241"/>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53" name="Text Box 242"/>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54" name="Text Box 243"/>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55" name="Text Box 244"/>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56" name="Text Box 245"/>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390525</xdr:colOff>
      <xdr:row>80</xdr:row>
      <xdr:rowOff>9525</xdr:rowOff>
    </xdr:to>
    <xdr:sp>
      <xdr:nvSpPr>
        <xdr:cNvPr id="24857" name="Text Box 246"/>
        <xdr:cNvSpPr txBox="1">
          <a:spLocks noChangeArrowheads="1"/>
        </xdr:cNvSpPr>
      </xdr:nvSpPr>
      <xdr:spPr>
        <a:xfrm>
          <a:off x="11715750" y="6692392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5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5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6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7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8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89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0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0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0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0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0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0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39</xdr:row>
      <xdr:rowOff>0</xdr:rowOff>
    </xdr:from>
    <xdr:to>
      <xdr:col>44</xdr:col>
      <xdr:colOff>781050</xdr:colOff>
      <xdr:row>39</xdr:row>
      <xdr:rowOff>9525</xdr:rowOff>
    </xdr:to>
    <xdr:sp>
      <xdr:nvSpPr>
        <xdr:cNvPr id="24906" name="Text Box 241"/>
        <xdr:cNvSpPr txBox="1">
          <a:spLocks noChangeArrowheads="1"/>
        </xdr:cNvSpPr>
      </xdr:nvSpPr>
      <xdr:spPr>
        <a:xfrm>
          <a:off x="11715750" y="3206940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39</xdr:row>
      <xdr:rowOff>0</xdr:rowOff>
    </xdr:from>
    <xdr:to>
      <xdr:col>44</xdr:col>
      <xdr:colOff>781050</xdr:colOff>
      <xdr:row>39</xdr:row>
      <xdr:rowOff>9525</xdr:rowOff>
    </xdr:to>
    <xdr:sp>
      <xdr:nvSpPr>
        <xdr:cNvPr id="24907" name="Text Box 242"/>
        <xdr:cNvSpPr txBox="1">
          <a:spLocks noChangeArrowheads="1"/>
        </xdr:cNvSpPr>
      </xdr:nvSpPr>
      <xdr:spPr>
        <a:xfrm>
          <a:off x="11715750" y="3206940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39</xdr:row>
      <xdr:rowOff>0</xdr:rowOff>
    </xdr:from>
    <xdr:to>
      <xdr:col>44</xdr:col>
      <xdr:colOff>781050</xdr:colOff>
      <xdr:row>39</xdr:row>
      <xdr:rowOff>9525</xdr:rowOff>
    </xdr:to>
    <xdr:sp>
      <xdr:nvSpPr>
        <xdr:cNvPr id="24908" name="Text Box 243"/>
        <xdr:cNvSpPr txBox="1">
          <a:spLocks noChangeArrowheads="1"/>
        </xdr:cNvSpPr>
      </xdr:nvSpPr>
      <xdr:spPr>
        <a:xfrm>
          <a:off x="11715750" y="3206940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39</xdr:row>
      <xdr:rowOff>0</xdr:rowOff>
    </xdr:from>
    <xdr:to>
      <xdr:col>44</xdr:col>
      <xdr:colOff>781050</xdr:colOff>
      <xdr:row>39</xdr:row>
      <xdr:rowOff>9525</xdr:rowOff>
    </xdr:to>
    <xdr:sp>
      <xdr:nvSpPr>
        <xdr:cNvPr id="24909" name="Text Box 244"/>
        <xdr:cNvSpPr txBox="1">
          <a:spLocks noChangeArrowheads="1"/>
        </xdr:cNvSpPr>
      </xdr:nvSpPr>
      <xdr:spPr>
        <a:xfrm>
          <a:off x="11715750" y="3206940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39</xdr:row>
      <xdr:rowOff>0</xdr:rowOff>
    </xdr:from>
    <xdr:to>
      <xdr:col>44</xdr:col>
      <xdr:colOff>781050</xdr:colOff>
      <xdr:row>39</xdr:row>
      <xdr:rowOff>9525</xdr:rowOff>
    </xdr:to>
    <xdr:sp>
      <xdr:nvSpPr>
        <xdr:cNvPr id="24910" name="Text Box 245"/>
        <xdr:cNvSpPr txBox="1">
          <a:spLocks noChangeArrowheads="1"/>
        </xdr:cNvSpPr>
      </xdr:nvSpPr>
      <xdr:spPr>
        <a:xfrm>
          <a:off x="11715750" y="3206940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39</xdr:row>
      <xdr:rowOff>0</xdr:rowOff>
    </xdr:from>
    <xdr:to>
      <xdr:col>44</xdr:col>
      <xdr:colOff>781050</xdr:colOff>
      <xdr:row>39</xdr:row>
      <xdr:rowOff>9525</xdr:rowOff>
    </xdr:to>
    <xdr:sp>
      <xdr:nvSpPr>
        <xdr:cNvPr id="24911" name="Text Box 246"/>
        <xdr:cNvSpPr txBox="1">
          <a:spLocks noChangeArrowheads="1"/>
        </xdr:cNvSpPr>
      </xdr:nvSpPr>
      <xdr:spPr>
        <a:xfrm>
          <a:off x="11715750" y="3206940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1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2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3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3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3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3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3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3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36" name="Text Box 241"/>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37" name="Text Box 242"/>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38" name="Text Box 243"/>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39" name="Text Box 244"/>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0" name="Text Box 245"/>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1" name="Text Box 246"/>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2" name="Text Box 241"/>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3" name="Text Box 242"/>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4" name="Text Box 243"/>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5" name="Text Box 244"/>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6" name="Text Box 245"/>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7" name="Text Box 246"/>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8" name="Text Box 241"/>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49" name="Text Box 242"/>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50" name="Text Box 243"/>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51" name="Text Box 244"/>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52" name="Text Box 245"/>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53" name="Text Box 246"/>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781050</xdr:colOff>
      <xdr:row>108</xdr:row>
      <xdr:rowOff>9525</xdr:rowOff>
    </xdr:to>
    <xdr:sp>
      <xdr:nvSpPr>
        <xdr:cNvPr id="24954" name="Text Box 241"/>
        <xdr:cNvSpPr txBox="1">
          <a:spLocks noChangeArrowheads="1"/>
        </xdr:cNvSpPr>
      </xdr:nvSpPr>
      <xdr:spPr>
        <a:xfrm>
          <a:off x="11715750" y="949998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781050</xdr:colOff>
      <xdr:row>108</xdr:row>
      <xdr:rowOff>9525</xdr:rowOff>
    </xdr:to>
    <xdr:sp>
      <xdr:nvSpPr>
        <xdr:cNvPr id="24955" name="Text Box 242"/>
        <xdr:cNvSpPr txBox="1">
          <a:spLocks noChangeArrowheads="1"/>
        </xdr:cNvSpPr>
      </xdr:nvSpPr>
      <xdr:spPr>
        <a:xfrm>
          <a:off x="11715750" y="949998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781050</xdr:colOff>
      <xdr:row>108</xdr:row>
      <xdr:rowOff>9525</xdr:rowOff>
    </xdr:to>
    <xdr:sp>
      <xdr:nvSpPr>
        <xdr:cNvPr id="24956" name="Text Box 243"/>
        <xdr:cNvSpPr txBox="1">
          <a:spLocks noChangeArrowheads="1"/>
        </xdr:cNvSpPr>
      </xdr:nvSpPr>
      <xdr:spPr>
        <a:xfrm>
          <a:off x="11715750" y="949998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781050</xdr:colOff>
      <xdr:row>108</xdr:row>
      <xdr:rowOff>9525</xdr:rowOff>
    </xdr:to>
    <xdr:sp>
      <xdr:nvSpPr>
        <xdr:cNvPr id="24957" name="Text Box 244"/>
        <xdr:cNvSpPr txBox="1">
          <a:spLocks noChangeArrowheads="1"/>
        </xdr:cNvSpPr>
      </xdr:nvSpPr>
      <xdr:spPr>
        <a:xfrm>
          <a:off x="11715750" y="949998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781050</xdr:colOff>
      <xdr:row>108</xdr:row>
      <xdr:rowOff>9525</xdr:rowOff>
    </xdr:to>
    <xdr:sp>
      <xdr:nvSpPr>
        <xdr:cNvPr id="24958" name="Text Box 245"/>
        <xdr:cNvSpPr txBox="1">
          <a:spLocks noChangeArrowheads="1"/>
        </xdr:cNvSpPr>
      </xdr:nvSpPr>
      <xdr:spPr>
        <a:xfrm>
          <a:off x="11715750" y="949998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781050</xdr:colOff>
      <xdr:row>108</xdr:row>
      <xdr:rowOff>9525</xdr:rowOff>
    </xdr:to>
    <xdr:sp>
      <xdr:nvSpPr>
        <xdr:cNvPr id="24959" name="Text Box 246"/>
        <xdr:cNvSpPr txBox="1">
          <a:spLocks noChangeArrowheads="1"/>
        </xdr:cNvSpPr>
      </xdr:nvSpPr>
      <xdr:spPr>
        <a:xfrm>
          <a:off x="11715750" y="949998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0" name="Text Box 241"/>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1" name="Text Box 242"/>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2" name="Text Box 243"/>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3" name="Text Box 244"/>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4" name="Text Box 245"/>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5" name="Text Box 246"/>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6" name="Text Box 241"/>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7" name="Text Box 242"/>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8" name="Text Box 243"/>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69" name="Text Box 244"/>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70" name="Text Box 245"/>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781050</xdr:colOff>
      <xdr:row>80</xdr:row>
      <xdr:rowOff>9525</xdr:rowOff>
    </xdr:to>
    <xdr:sp>
      <xdr:nvSpPr>
        <xdr:cNvPr id="24971" name="Text Box 246"/>
        <xdr:cNvSpPr txBox="1">
          <a:spLocks noChangeArrowheads="1"/>
        </xdr:cNvSpPr>
      </xdr:nvSpPr>
      <xdr:spPr>
        <a:xfrm>
          <a:off x="11715750" y="6692392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4972" name="Text Box 241"/>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4973" name="Text Box 242"/>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4974" name="Text Box 243"/>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4975" name="Text Box 244"/>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4976" name="Text Box 245"/>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102</xdr:row>
      <xdr:rowOff>0</xdr:rowOff>
    </xdr:from>
    <xdr:to>
      <xdr:col>44</xdr:col>
      <xdr:colOff>781050</xdr:colOff>
      <xdr:row>102</xdr:row>
      <xdr:rowOff>9525</xdr:rowOff>
    </xdr:to>
    <xdr:sp>
      <xdr:nvSpPr>
        <xdr:cNvPr id="24977" name="Text Box 246"/>
        <xdr:cNvSpPr txBox="1">
          <a:spLocks noChangeArrowheads="1"/>
        </xdr:cNvSpPr>
      </xdr:nvSpPr>
      <xdr:spPr>
        <a:xfrm>
          <a:off x="11715750" y="8889619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7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7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8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499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0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1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1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1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501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1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1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1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1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1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1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2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3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4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5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6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7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8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09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0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1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2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3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4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5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6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7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8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19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0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1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2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3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4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5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6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7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8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6"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7"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8"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299"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0"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1"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2"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3"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4"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5"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6"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7"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8"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09"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0"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1"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2"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3"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4"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5"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6"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7"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8"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19"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20" name="Text Box 241"/>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21" name="Text Box 242"/>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22" name="Text Box 243"/>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23" name="Text Box 244"/>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24" name="Text Box 245"/>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80</xdr:row>
      <xdr:rowOff>0</xdr:rowOff>
    </xdr:from>
    <xdr:to>
      <xdr:col>44</xdr:col>
      <xdr:colOff>790575</xdr:colOff>
      <xdr:row>80</xdr:row>
      <xdr:rowOff>9525</xdr:rowOff>
    </xdr:to>
    <xdr:sp>
      <xdr:nvSpPr>
        <xdr:cNvPr id="25325" name="Text Box 246"/>
        <xdr:cNvSpPr txBox="1">
          <a:spLocks noChangeArrowheads="1"/>
        </xdr:cNvSpPr>
      </xdr:nvSpPr>
      <xdr:spPr>
        <a:xfrm>
          <a:off x="11715750" y="6692392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2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2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2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2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3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4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4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4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34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44" name="Text Box 241"/>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45" name="Text Box 242"/>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46" name="Text Box 243"/>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47" name="Text Box 244"/>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48" name="Text Box 245"/>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49" name="Text Box 246"/>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50" name="Text Box 241"/>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51" name="Text Box 242"/>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52" name="Text Box 243"/>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53" name="Text Box 244"/>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54" name="Text Box 245"/>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5355" name="Text Box 246"/>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5356" name="Text Box 241"/>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5357" name="Text Box 242"/>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5358" name="Text Box 243"/>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5359" name="Text Box 244"/>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5360" name="Text Box 245"/>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5361" name="Text Box 246"/>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62"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63"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64"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65"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66"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67"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5368" name="Text Box 241"/>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5369" name="Text Box 242"/>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5370" name="Text Box 243"/>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5371" name="Text Box 244"/>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5372" name="Text Box 245"/>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202</xdr:row>
      <xdr:rowOff>0</xdr:rowOff>
    </xdr:from>
    <xdr:to>
      <xdr:col>44</xdr:col>
      <xdr:colOff>390525</xdr:colOff>
      <xdr:row>202</xdr:row>
      <xdr:rowOff>9525</xdr:rowOff>
    </xdr:to>
    <xdr:sp>
      <xdr:nvSpPr>
        <xdr:cNvPr id="25373" name="Text Box 246"/>
        <xdr:cNvSpPr txBox="1">
          <a:spLocks noChangeArrowheads="1"/>
        </xdr:cNvSpPr>
      </xdr:nvSpPr>
      <xdr:spPr>
        <a:xfrm>
          <a:off x="11715750" y="188223525"/>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74"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75"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76"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77"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78"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79"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80" name="Text Box 241"/>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81" name="Text Box 242"/>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82" name="Text Box 243"/>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83" name="Text Box 244"/>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84" name="Text Box 245"/>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390525</xdr:colOff>
      <xdr:row>201</xdr:row>
      <xdr:rowOff>9525</xdr:rowOff>
    </xdr:to>
    <xdr:sp>
      <xdr:nvSpPr>
        <xdr:cNvPr id="25385" name="Text Box 246"/>
        <xdr:cNvSpPr txBox="1">
          <a:spLocks noChangeArrowheads="1"/>
        </xdr:cNvSpPr>
      </xdr:nvSpPr>
      <xdr:spPr>
        <a:xfrm>
          <a:off x="11715750" y="1871091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5386" name="Text Box 241"/>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5387" name="Text Box 242"/>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5388" name="Text Box 243"/>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5389" name="Text Box 244"/>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5390" name="Text Box 245"/>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781050</xdr:colOff>
      <xdr:row>201</xdr:row>
      <xdr:rowOff>9525</xdr:rowOff>
    </xdr:to>
    <xdr:sp>
      <xdr:nvSpPr>
        <xdr:cNvPr id="25391" name="Text Box 246"/>
        <xdr:cNvSpPr txBox="1">
          <a:spLocks noChangeArrowheads="1"/>
        </xdr:cNvSpPr>
      </xdr:nvSpPr>
      <xdr:spPr>
        <a:xfrm>
          <a:off x="11715750" y="1871091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39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0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1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2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3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4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5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6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7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8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49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0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1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2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3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4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5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6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7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8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59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0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1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2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3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4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5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6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4"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5"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6"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7"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8"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79"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0"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1"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2"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3"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4"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5"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6"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7"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8"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89"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0"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1"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2"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3"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4"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5"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6"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7"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8" name="Text Box 241"/>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699" name="Text Box 242"/>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700" name="Text Box 243"/>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701" name="Text Box 244"/>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702" name="Text Box 245"/>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201</xdr:row>
      <xdr:rowOff>0</xdr:rowOff>
    </xdr:from>
    <xdr:to>
      <xdr:col>44</xdr:col>
      <xdr:colOff>790575</xdr:colOff>
      <xdr:row>201</xdr:row>
      <xdr:rowOff>9525</xdr:rowOff>
    </xdr:to>
    <xdr:sp>
      <xdr:nvSpPr>
        <xdr:cNvPr id="25703" name="Text Box 246"/>
        <xdr:cNvSpPr txBox="1">
          <a:spLocks noChangeArrowheads="1"/>
        </xdr:cNvSpPr>
      </xdr:nvSpPr>
      <xdr:spPr>
        <a:xfrm>
          <a:off x="11715750" y="18710910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5704" name="Text Box 241"/>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5705" name="Text Box 242"/>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5706" name="Text Box 243"/>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5707" name="Text Box 244"/>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5708" name="Text Box 245"/>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107</xdr:row>
      <xdr:rowOff>0</xdr:rowOff>
    </xdr:from>
    <xdr:to>
      <xdr:col>0</xdr:col>
      <xdr:colOff>514350</xdr:colOff>
      <xdr:row>107</xdr:row>
      <xdr:rowOff>9525</xdr:rowOff>
    </xdr:to>
    <xdr:sp>
      <xdr:nvSpPr>
        <xdr:cNvPr id="25709" name="Text Box 246"/>
        <xdr:cNvSpPr txBox="1">
          <a:spLocks noChangeArrowheads="1"/>
        </xdr:cNvSpPr>
      </xdr:nvSpPr>
      <xdr:spPr>
        <a:xfrm>
          <a:off x="504825" y="9398254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0" name="Text Box 241"/>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1" name="Text Box 242"/>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2" name="Text Box 243"/>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3" name="Text Box 244"/>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4" name="Text Box 245"/>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5" name="Text Box 246"/>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6" name="Text Box 241"/>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7" name="Text Box 242"/>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8" name="Text Box 243"/>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19" name="Text Box 244"/>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20" name="Text Box 245"/>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108</xdr:row>
      <xdr:rowOff>0</xdr:rowOff>
    </xdr:from>
    <xdr:to>
      <xdr:col>0</xdr:col>
      <xdr:colOff>514350</xdr:colOff>
      <xdr:row>108</xdr:row>
      <xdr:rowOff>9525</xdr:rowOff>
    </xdr:to>
    <xdr:sp>
      <xdr:nvSpPr>
        <xdr:cNvPr id="25721" name="Text Box 246"/>
        <xdr:cNvSpPr txBox="1">
          <a:spLocks noChangeArrowheads="1"/>
        </xdr:cNvSpPr>
      </xdr:nvSpPr>
      <xdr:spPr>
        <a:xfrm>
          <a:off x="504825" y="9499981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722"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723"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724"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725"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726"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727"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28"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29"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30"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31"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32"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33"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3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3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3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3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3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3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4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5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6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51</xdr:row>
      <xdr:rowOff>0</xdr:rowOff>
    </xdr:from>
    <xdr:to>
      <xdr:col>44</xdr:col>
      <xdr:colOff>390525</xdr:colOff>
      <xdr:row>51</xdr:row>
      <xdr:rowOff>0</xdr:rowOff>
    </xdr:to>
    <xdr:sp>
      <xdr:nvSpPr>
        <xdr:cNvPr id="25770" name="Text Box 241"/>
        <xdr:cNvSpPr txBox="1">
          <a:spLocks noChangeArrowheads="1"/>
        </xdr:cNvSpPr>
      </xdr:nvSpPr>
      <xdr:spPr>
        <a:xfrm>
          <a:off x="11715750" y="41084500"/>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51</xdr:row>
      <xdr:rowOff>0</xdr:rowOff>
    </xdr:from>
    <xdr:to>
      <xdr:col>44</xdr:col>
      <xdr:colOff>390525</xdr:colOff>
      <xdr:row>51</xdr:row>
      <xdr:rowOff>0</xdr:rowOff>
    </xdr:to>
    <xdr:sp>
      <xdr:nvSpPr>
        <xdr:cNvPr id="25771" name="Text Box 242"/>
        <xdr:cNvSpPr txBox="1">
          <a:spLocks noChangeArrowheads="1"/>
        </xdr:cNvSpPr>
      </xdr:nvSpPr>
      <xdr:spPr>
        <a:xfrm>
          <a:off x="11715750" y="41084500"/>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51</xdr:row>
      <xdr:rowOff>0</xdr:rowOff>
    </xdr:from>
    <xdr:to>
      <xdr:col>44</xdr:col>
      <xdr:colOff>390525</xdr:colOff>
      <xdr:row>51</xdr:row>
      <xdr:rowOff>0</xdr:rowOff>
    </xdr:to>
    <xdr:sp>
      <xdr:nvSpPr>
        <xdr:cNvPr id="25772" name="Text Box 243"/>
        <xdr:cNvSpPr txBox="1">
          <a:spLocks noChangeArrowheads="1"/>
        </xdr:cNvSpPr>
      </xdr:nvSpPr>
      <xdr:spPr>
        <a:xfrm>
          <a:off x="11715750" y="41084500"/>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51</xdr:row>
      <xdr:rowOff>0</xdr:rowOff>
    </xdr:from>
    <xdr:to>
      <xdr:col>44</xdr:col>
      <xdr:colOff>390525</xdr:colOff>
      <xdr:row>51</xdr:row>
      <xdr:rowOff>0</xdr:rowOff>
    </xdr:to>
    <xdr:sp>
      <xdr:nvSpPr>
        <xdr:cNvPr id="25773" name="Text Box 244"/>
        <xdr:cNvSpPr txBox="1">
          <a:spLocks noChangeArrowheads="1"/>
        </xdr:cNvSpPr>
      </xdr:nvSpPr>
      <xdr:spPr>
        <a:xfrm>
          <a:off x="11715750" y="41084500"/>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51</xdr:row>
      <xdr:rowOff>0</xdr:rowOff>
    </xdr:from>
    <xdr:to>
      <xdr:col>44</xdr:col>
      <xdr:colOff>390525</xdr:colOff>
      <xdr:row>51</xdr:row>
      <xdr:rowOff>0</xdr:rowOff>
    </xdr:to>
    <xdr:sp>
      <xdr:nvSpPr>
        <xdr:cNvPr id="25774" name="Text Box 245"/>
        <xdr:cNvSpPr txBox="1">
          <a:spLocks noChangeArrowheads="1"/>
        </xdr:cNvSpPr>
      </xdr:nvSpPr>
      <xdr:spPr>
        <a:xfrm>
          <a:off x="11715750" y="41084500"/>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51</xdr:row>
      <xdr:rowOff>0</xdr:rowOff>
    </xdr:from>
    <xdr:to>
      <xdr:col>44</xdr:col>
      <xdr:colOff>390525</xdr:colOff>
      <xdr:row>51</xdr:row>
      <xdr:rowOff>0</xdr:rowOff>
    </xdr:to>
    <xdr:sp>
      <xdr:nvSpPr>
        <xdr:cNvPr id="25775" name="Text Box 246"/>
        <xdr:cNvSpPr txBox="1">
          <a:spLocks noChangeArrowheads="1"/>
        </xdr:cNvSpPr>
      </xdr:nvSpPr>
      <xdr:spPr>
        <a:xfrm>
          <a:off x="11715750" y="41084500"/>
          <a:ext cx="390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92</xdr:row>
      <xdr:rowOff>0</xdr:rowOff>
    </xdr:from>
    <xdr:to>
      <xdr:col>44</xdr:col>
      <xdr:colOff>390525</xdr:colOff>
      <xdr:row>92</xdr:row>
      <xdr:rowOff>9525</xdr:rowOff>
    </xdr:to>
    <xdr:sp>
      <xdr:nvSpPr>
        <xdr:cNvPr id="25776" name="Text Box 241"/>
        <xdr:cNvSpPr txBox="1">
          <a:spLocks noChangeArrowheads="1"/>
        </xdr:cNvSpPr>
      </xdr:nvSpPr>
      <xdr:spPr>
        <a:xfrm>
          <a:off x="11715750" y="787234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92</xdr:row>
      <xdr:rowOff>0</xdr:rowOff>
    </xdr:from>
    <xdr:to>
      <xdr:col>44</xdr:col>
      <xdr:colOff>390525</xdr:colOff>
      <xdr:row>92</xdr:row>
      <xdr:rowOff>9525</xdr:rowOff>
    </xdr:to>
    <xdr:sp>
      <xdr:nvSpPr>
        <xdr:cNvPr id="25777" name="Text Box 242"/>
        <xdr:cNvSpPr txBox="1">
          <a:spLocks noChangeArrowheads="1"/>
        </xdr:cNvSpPr>
      </xdr:nvSpPr>
      <xdr:spPr>
        <a:xfrm>
          <a:off x="11715750" y="787234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92</xdr:row>
      <xdr:rowOff>0</xdr:rowOff>
    </xdr:from>
    <xdr:to>
      <xdr:col>44</xdr:col>
      <xdr:colOff>390525</xdr:colOff>
      <xdr:row>92</xdr:row>
      <xdr:rowOff>9525</xdr:rowOff>
    </xdr:to>
    <xdr:sp>
      <xdr:nvSpPr>
        <xdr:cNvPr id="25778" name="Text Box 243"/>
        <xdr:cNvSpPr txBox="1">
          <a:spLocks noChangeArrowheads="1"/>
        </xdr:cNvSpPr>
      </xdr:nvSpPr>
      <xdr:spPr>
        <a:xfrm>
          <a:off x="11715750" y="787234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92</xdr:row>
      <xdr:rowOff>0</xdr:rowOff>
    </xdr:from>
    <xdr:to>
      <xdr:col>44</xdr:col>
      <xdr:colOff>390525</xdr:colOff>
      <xdr:row>92</xdr:row>
      <xdr:rowOff>9525</xdr:rowOff>
    </xdr:to>
    <xdr:sp>
      <xdr:nvSpPr>
        <xdr:cNvPr id="25779" name="Text Box 244"/>
        <xdr:cNvSpPr txBox="1">
          <a:spLocks noChangeArrowheads="1"/>
        </xdr:cNvSpPr>
      </xdr:nvSpPr>
      <xdr:spPr>
        <a:xfrm>
          <a:off x="11715750" y="787234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92</xdr:row>
      <xdr:rowOff>0</xdr:rowOff>
    </xdr:from>
    <xdr:to>
      <xdr:col>44</xdr:col>
      <xdr:colOff>390525</xdr:colOff>
      <xdr:row>92</xdr:row>
      <xdr:rowOff>9525</xdr:rowOff>
    </xdr:to>
    <xdr:sp>
      <xdr:nvSpPr>
        <xdr:cNvPr id="25780" name="Text Box 245"/>
        <xdr:cNvSpPr txBox="1">
          <a:spLocks noChangeArrowheads="1"/>
        </xdr:cNvSpPr>
      </xdr:nvSpPr>
      <xdr:spPr>
        <a:xfrm>
          <a:off x="11715750" y="787234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92</xdr:row>
      <xdr:rowOff>0</xdr:rowOff>
    </xdr:from>
    <xdr:to>
      <xdr:col>44</xdr:col>
      <xdr:colOff>390525</xdr:colOff>
      <xdr:row>92</xdr:row>
      <xdr:rowOff>9525</xdr:rowOff>
    </xdr:to>
    <xdr:sp>
      <xdr:nvSpPr>
        <xdr:cNvPr id="25781" name="Text Box 246"/>
        <xdr:cNvSpPr txBox="1">
          <a:spLocks noChangeArrowheads="1"/>
        </xdr:cNvSpPr>
      </xdr:nvSpPr>
      <xdr:spPr>
        <a:xfrm>
          <a:off x="11715750" y="7872349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82"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83"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84"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85"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86"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787"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8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8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79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0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1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2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2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2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82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824"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825"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826"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827"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828"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829"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0"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1"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2"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3"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4"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5"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6"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7"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8"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39"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0"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1"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2"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3"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4"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5"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6"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7"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8"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49"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0"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1"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2"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3"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4"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5"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6"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7"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8"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59"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0"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1"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2"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3"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4"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5"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6"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7"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8"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69"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0"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1"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2"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3"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4"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5"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6"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7"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8"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79"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0"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1"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2"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3"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4"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5"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6"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7"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8"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89"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0"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1"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2"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3"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4"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5"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6"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7"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8"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899"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0"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1"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2"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3"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4"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5"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6"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7"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8"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09"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0"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1"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2"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3"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4"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5"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6"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7"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8"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19"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0"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1"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2"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3"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4"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5"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6"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7"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8"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29"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0"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1"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2" name="Text Box 241"/>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3" name="Text Box 242"/>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4" name="Text Box 243"/>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5" name="Text Box 244"/>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6" name="Text Box 245"/>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76</xdr:row>
      <xdr:rowOff>0</xdr:rowOff>
    </xdr:from>
    <xdr:to>
      <xdr:col>44</xdr:col>
      <xdr:colOff>781050</xdr:colOff>
      <xdr:row>76</xdr:row>
      <xdr:rowOff>9525</xdr:rowOff>
    </xdr:to>
    <xdr:sp>
      <xdr:nvSpPr>
        <xdr:cNvPr id="25937" name="Text Box 246"/>
        <xdr:cNvSpPr txBox="1">
          <a:spLocks noChangeArrowheads="1"/>
        </xdr:cNvSpPr>
      </xdr:nvSpPr>
      <xdr:spPr>
        <a:xfrm>
          <a:off x="11715750" y="6272911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38"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39"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40"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41"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42"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43"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44"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45"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46"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47"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48"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49"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390525</xdr:colOff>
      <xdr:row>105</xdr:row>
      <xdr:rowOff>9525</xdr:rowOff>
    </xdr:to>
    <xdr:sp>
      <xdr:nvSpPr>
        <xdr:cNvPr id="25950" name="Text Box 241"/>
        <xdr:cNvSpPr txBox="1">
          <a:spLocks noChangeArrowheads="1"/>
        </xdr:cNvSpPr>
      </xdr:nvSpPr>
      <xdr:spPr>
        <a:xfrm>
          <a:off x="11715750" y="919480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390525</xdr:colOff>
      <xdr:row>105</xdr:row>
      <xdr:rowOff>9525</xdr:rowOff>
    </xdr:to>
    <xdr:sp>
      <xdr:nvSpPr>
        <xdr:cNvPr id="25951" name="Text Box 242"/>
        <xdr:cNvSpPr txBox="1">
          <a:spLocks noChangeArrowheads="1"/>
        </xdr:cNvSpPr>
      </xdr:nvSpPr>
      <xdr:spPr>
        <a:xfrm>
          <a:off x="11715750" y="919480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390525</xdr:colOff>
      <xdr:row>105</xdr:row>
      <xdr:rowOff>9525</xdr:rowOff>
    </xdr:to>
    <xdr:sp>
      <xdr:nvSpPr>
        <xdr:cNvPr id="25952" name="Text Box 243"/>
        <xdr:cNvSpPr txBox="1">
          <a:spLocks noChangeArrowheads="1"/>
        </xdr:cNvSpPr>
      </xdr:nvSpPr>
      <xdr:spPr>
        <a:xfrm>
          <a:off x="11715750" y="919480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390525</xdr:colOff>
      <xdr:row>105</xdr:row>
      <xdr:rowOff>9525</xdr:rowOff>
    </xdr:to>
    <xdr:sp>
      <xdr:nvSpPr>
        <xdr:cNvPr id="25953" name="Text Box 244"/>
        <xdr:cNvSpPr txBox="1">
          <a:spLocks noChangeArrowheads="1"/>
        </xdr:cNvSpPr>
      </xdr:nvSpPr>
      <xdr:spPr>
        <a:xfrm>
          <a:off x="11715750" y="919480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390525</xdr:colOff>
      <xdr:row>105</xdr:row>
      <xdr:rowOff>9525</xdr:rowOff>
    </xdr:to>
    <xdr:sp>
      <xdr:nvSpPr>
        <xdr:cNvPr id="25954" name="Text Box 245"/>
        <xdr:cNvSpPr txBox="1">
          <a:spLocks noChangeArrowheads="1"/>
        </xdr:cNvSpPr>
      </xdr:nvSpPr>
      <xdr:spPr>
        <a:xfrm>
          <a:off x="11715750" y="919480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390525</xdr:colOff>
      <xdr:row>105</xdr:row>
      <xdr:rowOff>9525</xdr:rowOff>
    </xdr:to>
    <xdr:sp>
      <xdr:nvSpPr>
        <xdr:cNvPr id="25955" name="Text Box 246"/>
        <xdr:cNvSpPr txBox="1">
          <a:spLocks noChangeArrowheads="1"/>
        </xdr:cNvSpPr>
      </xdr:nvSpPr>
      <xdr:spPr>
        <a:xfrm>
          <a:off x="11715750" y="9194800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56"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57"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58"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59"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60"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5961"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2"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3"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4"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5"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6"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7"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8" name="Text Box 241"/>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69" name="Text Box 242"/>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70" name="Text Box 243"/>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71" name="Text Box 244"/>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72" name="Text Box 245"/>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390525</xdr:colOff>
      <xdr:row>107</xdr:row>
      <xdr:rowOff>9525</xdr:rowOff>
    </xdr:to>
    <xdr:sp>
      <xdr:nvSpPr>
        <xdr:cNvPr id="25973" name="Text Box 246"/>
        <xdr:cNvSpPr txBox="1">
          <a:spLocks noChangeArrowheads="1"/>
        </xdr:cNvSpPr>
      </xdr:nvSpPr>
      <xdr:spPr>
        <a:xfrm>
          <a:off x="11715750" y="9398254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74"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75"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76"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77"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78"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79"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80"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81"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82"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83"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84"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5985"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8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8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8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8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599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0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1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2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3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6"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7"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8"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49"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0"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1"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2"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3"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4"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5"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6"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057"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58"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59"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60"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61"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62"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63"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64"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65"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66"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67"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68"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69"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70"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71"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72"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73"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74"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75"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76"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77"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78"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79"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80"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81"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82"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83"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84"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85"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86"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87"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88" name="Text Box 241"/>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89" name="Text Box 242"/>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90" name="Text Box 243"/>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91" name="Text Box 244"/>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92" name="Text Box 245"/>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108</xdr:row>
      <xdr:rowOff>0</xdr:rowOff>
    </xdr:from>
    <xdr:to>
      <xdr:col>44</xdr:col>
      <xdr:colOff>390525</xdr:colOff>
      <xdr:row>108</xdr:row>
      <xdr:rowOff>9525</xdr:rowOff>
    </xdr:to>
    <xdr:sp>
      <xdr:nvSpPr>
        <xdr:cNvPr id="26093" name="Text Box 246"/>
        <xdr:cNvSpPr txBox="1">
          <a:spLocks noChangeArrowheads="1"/>
        </xdr:cNvSpPr>
      </xdr:nvSpPr>
      <xdr:spPr>
        <a:xfrm>
          <a:off x="11715750" y="9499981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94" name="Text Box 241"/>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95" name="Text Box 242"/>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96" name="Text Box 243"/>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97" name="Text Box 244"/>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98" name="Text Box 245"/>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390525</xdr:colOff>
      <xdr:row>113</xdr:row>
      <xdr:rowOff>9525</xdr:rowOff>
    </xdr:to>
    <xdr:sp>
      <xdr:nvSpPr>
        <xdr:cNvPr id="26099" name="Text Box 246"/>
        <xdr:cNvSpPr txBox="1">
          <a:spLocks noChangeArrowheads="1"/>
        </xdr:cNvSpPr>
      </xdr:nvSpPr>
      <xdr:spPr>
        <a:xfrm>
          <a:off x="11715750" y="10008616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0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1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2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3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4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33</xdr:row>
      <xdr:rowOff>0</xdr:rowOff>
    </xdr:from>
    <xdr:to>
      <xdr:col>44</xdr:col>
      <xdr:colOff>781050</xdr:colOff>
      <xdr:row>33</xdr:row>
      <xdr:rowOff>9525</xdr:rowOff>
    </xdr:to>
    <xdr:sp>
      <xdr:nvSpPr>
        <xdr:cNvPr id="26148" name="Text Box 241"/>
        <xdr:cNvSpPr txBox="1">
          <a:spLocks noChangeArrowheads="1"/>
        </xdr:cNvSpPr>
      </xdr:nvSpPr>
      <xdr:spPr>
        <a:xfrm>
          <a:off x="11715750" y="270313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33</xdr:row>
      <xdr:rowOff>0</xdr:rowOff>
    </xdr:from>
    <xdr:to>
      <xdr:col>44</xdr:col>
      <xdr:colOff>781050</xdr:colOff>
      <xdr:row>33</xdr:row>
      <xdr:rowOff>9525</xdr:rowOff>
    </xdr:to>
    <xdr:sp>
      <xdr:nvSpPr>
        <xdr:cNvPr id="26149" name="Text Box 242"/>
        <xdr:cNvSpPr txBox="1">
          <a:spLocks noChangeArrowheads="1"/>
        </xdr:cNvSpPr>
      </xdr:nvSpPr>
      <xdr:spPr>
        <a:xfrm>
          <a:off x="11715750" y="270313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33</xdr:row>
      <xdr:rowOff>0</xdr:rowOff>
    </xdr:from>
    <xdr:to>
      <xdr:col>44</xdr:col>
      <xdr:colOff>781050</xdr:colOff>
      <xdr:row>33</xdr:row>
      <xdr:rowOff>9525</xdr:rowOff>
    </xdr:to>
    <xdr:sp>
      <xdr:nvSpPr>
        <xdr:cNvPr id="26150" name="Text Box 243"/>
        <xdr:cNvSpPr txBox="1">
          <a:spLocks noChangeArrowheads="1"/>
        </xdr:cNvSpPr>
      </xdr:nvSpPr>
      <xdr:spPr>
        <a:xfrm>
          <a:off x="11715750" y="270313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33</xdr:row>
      <xdr:rowOff>0</xdr:rowOff>
    </xdr:from>
    <xdr:to>
      <xdr:col>44</xdr:col>
      <xdr:colOff>781050</xdr:colOff>
      <xdr:row>33</xdr:row>
      <xdr:rowOff>9525</xdr:rowOff>
    </xdr:to>
    <xdr:sp>
      <xdr:nvSpPr>
        <xdr:cNvPr id="26151" name="Text Box 244"/>
        <xdr:cNvSpPr txBox="1">
          <a:spLocks noChangeArrowheads="1"/>
        </xdr:cNvSpPr>
      </xdr:nvSpPr>
      <xdr:spPr>
        <a:xfrm>
          <a:off x="11715750" y="270313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33</xdr:row>
      <xdr:rowOff>0</xdr:rowOff>
    </xdr:from>
    <xdr:to>
      <xdr:col>44</xdr:col>
      <xdr:colOff>781050</xdr:colOff>
      <xdr:row>33</xdr:row>
      <xdr:rowOff>9525</xdr:rowOff>
    </xdr:to>
    <xdr:sp>
      <xdr:nvSpPr>
        <xdr:cNvPr id="26152" name="Text Box 245"/>
        <xdr:cNvSpPr txBox="1">
          <a:spLocks noChangeArrowheads="1"/>
        </xdr:cNvSpPr>
      </xdr:nvSpPr>
      <xdr:spPr>
        <a:xfrm>
          <a:off x="11715750" y="270313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33</xdr:row>
      <xdr:rowOff>0</xdr:rowOff>
    </xdr:from>
    <xdr:to>
      <xdr:col>44</xdr:col>
      <xdr:colOff>781050</xdr:colOff>
      <xdr:row>33</xdr:row>
      <xdr:rowOff>9525</xdr:rowOff>
    </xdr:to>
    <xdr:sp>
      <xdr:nvSpPr>
        <xdr:cNvPr id="26153" name="Text Box 246"/>
        <xdr:cNvSpPr txBox="1">
          <a:spLocks noChangeArrowheads="1"/>
        </xdr:cNvSpPr>
      </xdr:nvSpPr>
      <xdr:spPr>
        <a:xfrm>
          <a:off x="11715750" y="27031315"/>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5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5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5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5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5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5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6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17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78" name="Text Box 241"/>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79" name="Text Box 242"/>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0" name="Text Box 243"/>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1" name="Text Box 244"/>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2" name="Text Box 245"/>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3" name="Text Box 246"/>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4" name="Text Box 241"/>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5" name="Text Box 242"/>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6" name="Text Box 243"/>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7" name="Text Box 244"/>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8" name="Text Box 245"/>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89" name="Text Box 246"/>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90" name="Text Box 241"/>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91" name="Text Box 242"/>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92" name="Text Box 243"/>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93" name="Text Box 244"/>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94" name="Text Box 245"/>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195" name="Text Box 246"/>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781050</xdr:colOff>
      <xdr:row>105</xdr:row>
      <xdr:rowOff>9525</xdr:rowOff>
    </xdr:to>
    <xdr:sp>
      <xdr:nvSpPr>
        <xdr:cNvPr id="26196" name="Text Box 241"/>
        <xdr:cNvSpPr txBox="1">
          <a:spLocks noChangeArrowheads="1"/>
        </xdr:cNvSpPr>
      </xdr:nvSpPr>
      <xdr:spPr>
        <a:xfrm>
          <a:off x="11715750" y="919480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781050</xdr:colOff>
      <xdr:row>105</xdr:row>
      <xdr:rowOff>9525</xdr:rowOff>
    </xdr:to>
    <xdr:sp>
      <xdr:nvSpPr>
        <xdr:cNvPr id="26197" name="Text Box 242"/>
        <xdr:cNvSpPr txBox="1">
          <a:spLocks noChangeArrowheads="1"/>
        </xdr:cNvSpPr>
      </xdr:nvSpPr>
      <xdr:spPr>
        <a:xfrm>
          <a:off x="11715750" y="919480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781050</xdr:colOff>
      <xdr:row>105</xdr:row>
      <xdr:rowOff>9525</xdr:rowOff>
    </xdr:to>
    <xdr:sp>
      <xdr:nvSpPr>
        <xdr:cNvPr id="26198" name="Text Box 243"/>
        <xdr:cNvSpPr txBox="1">
          <a:spLocks noChangeArrowheads="1"/>
        </xdr:cNvSpPr>
      </xdr:nvSpPr>
      <xdr:spPr>
        <a:xfrm>
          <a:off x="11715750" y="919480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781050</xdr:colOff>
      <xdr:row>105</xdr:row>
      <xdr:rowOff>9525</xdr:rowOff>
    </xdr:to>
    <xdr:sp>
      <xdr:nvSpPr>
        <xdr:cNvPr id="26199" name="Text Box 244"/>
        <xdr:cNvSpPr txBox="1">
          <a:spLocks noChangeArrowheads="1"/>
        </xdr:cNvSpPr>
      </xdr:nvSpPr>
      <xdr:spPr>
        <a:xfrm>
          <a:off x="11715750" y="919480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781050</xdr:colOff>
      <xdr:row>105</xdr:row>
      <xdr:rowOff>9525</xdr:rowOff>
    </xdr:to>
    <xdr:sp>
      <xdr:nvSpPr>
        <xdr:cNvPr id="26200" name="Text Box 245"/>
        <xdr:cNvSpPr txBox="1">
          <a:spLocks noChangeArrowheads="1"/>
        </xdr:cNvSpPr>
      </xdr:nvSpPr>
      <xdr:spPr>
        <a:xfrm>
          <a:off x="11715750" y="919480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105</xdr:row>
      <xdr:rowOff>0</xdr:rowOff>
    </xdr:from>
    <xdr:to>
      <xdr:col>44</xdr:col>
      <xdr:colOff>781050</xdr:colOff>
      <xdr:row>105</xdr:row>
      <xdr:rowOff>9525</xdr:rowOff>
    </xdr:to>
    <xdr:sp>
      <xdr:nvSpPr>
        <xdr:cNvPr id="26201" name="Text Box 246"/>
        <xdr:cNvSpPr txBox="1">
          <a:spLocks noChangeArrowheads="1"/>
        </xdr:cNvSpPr>
      </xdr:nvSpPr>
      <xdr:spPr>
        <a:xfrm>
          <a:off x="11715750" y="9194800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2" name="Text Box 241"/>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3" name="Text Box 242"/>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4" name="Text Box 243"/>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5" name="Text Box 244"/>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6" name="Text Box 245"/>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7" name="Text Box 246"/>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8" name="Text Box 241"/>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09" name="Text Box 242"/>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10" name="Text Box 243"/>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11" name="Text Box 244"/>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12" name="Text Box 245"/>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781050</xdr:colOff>
      <xdr:row>113</xdr:row>
      <xdr:rowOff>9525</xdr:rowOff>
    </xdr:to>
    <xdr:sp>
      <xdr:nvSpPr>
        <xdr:cNvPr id="26213" name="Text Box 246"/>
        <xdr:cNvSpPr txBox="1">
          <a:spLocks noChangeArrowheads="1"/>
        </xdr:cNvSpPr>
      </xdr:nvSpPr>
      <xdr:spPr>
        <a:xfrm>
          <a:off x="11715750" y="10008616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781050</xdr:colOff>
      <xdr:row>107</xdr:row>
      <xdr:rowOff>9525</xdr:rowOff>
    </xdr:to>
    <xdr:sp>
      <xdr:nvSpPr>
        <xdr:cNvPr id="26214" name="Text Box 241"/>
        <xdr:cNvSpPr txBox="1">
          <a:spLocks noChangeArrowheads="1"/>
        </xdr:cNvSpPr>
      </xdr:nvSpPr>
      <xdr:spPr>
        <a:xfrm>
          <a:off x="11715750" y="9398254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781050</xdr:colOff>
      <xdr:row>107</xdr:row>
      <xdr:rowOff>9525</xdr:rowOff>
    </xdr:to>
    <xdr:sp>
      <xdr:nvSpPr>
        <xdr:cNvPr id="26215" name="Text Box 242"/>
        <xdr:cNvSpPr txBox="1">
          <a:spLocks noChangeArrowheads="1"/>
        </xdr:cNvSpPr>
      </xdr:nvSpPr>
      <xdr:spPr>
        <a:xfrm>
          <a:off x="11715750" y="9398254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781050</xdr:colOff>
      <xdr:row>107</xdr:row>
      <xdr:rowOff>9525</xdr:rowOff>
    </xdr:to>
    <xdr:sp>
      <xdr:nvSpPr>
        <xdr:cNvPr id="26216" name="Text Box 243"/>
        <xdr:cNvSpPr txBox="1">
          <a:spLocks noChangeArrowheads="1"/>
        </xdr:cNvSpPr>
      </xdr:nvSpPr>
      <xdr:spPr>
        <a:xfrm>
          <a:off x="11715750" y="9398254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781050</xdr:colOff>
      <xdr:row>107</xdr:row>
      <xdr:rowOff>9525</xdr:rowOff>
    </xdr:to>
    <xdr:sp>
      <xdr:nvSpPr>
        <xdr:cNvPr id="26217" name="Text Box 244"/>
        <xdr:cNvSpPr txBox="1">
          <a:spLocks noChangeArrowheads="1"/>
        </xdr:cNvSpPr>
      </xdr:nvSpPr>
      <xdr:spPr>
        <a:xfrm>
          <a:off x="11715750" y="9398254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781050</xdr:colOff>
      <xdr:row>107</xdr:row>
      <xdr:rowOff>9525</xdr:rowOff>
    </xdr:to>
    <xdr:sp>
      <xdr:nvSpPr>
        <xdr:cNvPr id="26218" name="Text Box 245"/>
        <xdr:cNvSpPr txBox="1">
          <a:spLocks noChangeArrowheads="1"/>
        </xdr:cNvSpPr>
      </xdr:nvSpPr>
      <xdr:spPr>
        <a:xfrm>
          <a:off x="11715750" y="9398254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107</xdr:row>
      <xdr:rowOff>0</xdr:rowOff>
    </xdr:from>
    <xdr:to>
      <xdr:col>44</xdr:col>
      <xdr:colOff>781050</xdr:colOff>
      <xdr:row>107</xdr:row>
      <xdr:rowOff>9525</xdr:rowOff>
    </xdr:to>
    <xdr:sp>
      <xdr:nvSpPr>
        <xdr:cNvPr id="26219" name="Text Box 246"/>
        <xdr:cNvSpPr txBox="1">
          <a:spLocks noChangeArrowheads="1"/>
        </xdr:cNvSpPr>
      </xdr:nvSpPr>
      <xdr:spPr>
        <a:xfrm>
          <a:off x="11715750" y="9398254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6"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7"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8"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29"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0"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1"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2"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3"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4"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5"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6"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7"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8"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39"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0"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1"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2"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3"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4"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5"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6"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7"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8"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49"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50" name="Text Box 241"/>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51" name="Text Box 242"/>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52" name="Text Box 243"/>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53" name="Text Box 244"/>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54" name="Text Box 245"/>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781050</xdr:colOff>
      <xdr:row>0</xdr:row>
      <xdr:rowOff>9525</xdr:rowOff>
    </xdr:to>
    <xdr:sp>
      <xdr:nvSpPr>
        <xdr:cNvPr id="26255" name="Text Box 246"/>
        <xdr:cNvSpPr txBox="1">
          <a:spLocks noChangeArrowheads="1"/>
        </xdr:cNvSpPr>
      </xdr:nvSpPr>
      <xdr:spPr>
        <a:xfrm>
          <a:off x="11715750" y="0"/>
          <a:ext cx="781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5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5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5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5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6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7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8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29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0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1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2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3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4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5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6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7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8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39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0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1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2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3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4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5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6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7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8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49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0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1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2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8"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39"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0"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1"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2"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3"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4"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5"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6"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7"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8"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49"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0"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1"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2"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3"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4"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5"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6"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7"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8"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59"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0"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1"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2" name="Text Box 241"/>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3" name="Text Box 242"/>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4" name="Text Box 243"/>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5" name="Text Box 244"/>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6" name="Text Box 245"/>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113</xdr:row>
      <xdr:rowOff>0</xdr:rowOff>
    </xdr:from>
    <xdr:to>
      <xdr:col>44</xdr:col>
      <xdr:colOff>790575</xdr:colOff>
      <xdr:row>113</xdr:row>
      <xdr:rowOff>9525</xdr:rowOff>
    </xdr:to>
    <xdr:sp>
      <xdr:nvSpPr>
        <xdr:cNvPr id="26567" name="Text Box 246"/>
        <xdr:cNvSpPr txBox="1">
          <a:spLocks noChangeArrowheads="1"/>
        </xdr:cNvSpPr>
      </xdr:nvSpPr>
      <xdr:spPr>
        <a:xfrm>
          <a:off x="11715750" y="100086160"/>
          <a:ext cx="7905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68"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69"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0"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1"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2"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3"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4"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5"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6"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7"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8"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79"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80" name="Text Box 241"/>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81" name="Text Box 242"/>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82" name="Text Box 243"/>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83" name="Text Box 244"/>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84" name="Text Box 245"/>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390525</xdr:colOff>
      <xdr:row>0</xdr:row>
      <xdr:rowOff>9525</xdr:rowOff>
    </xdr:to>
    <xdr:sp>
      <xdr:nvSpPr>
        <xdr:cNvPr id="26585" name="Text Box 246"/>
        <xdr:cNvSpPr txBox="1">
          <a:spLocks noChangeArrowheads="1"/>
        </xdr:cNvSpPr>
      </xdr:nvSpPr>
      <xdr:spPr>
        <a:xfrm>
          <a:off x="11715750" y="0"/>
          <a:ext cx="390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86" name="Text Box 241"/>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87" name="Text Box 242"/>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88" name="Text Box 243"/>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89" name="Text Box 244"/>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0" name="Text Box 245"/>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1" name="Text Box 246"/>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2" name="Text Box 241"/>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3" name="Text Box 242"/>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4" name="Text Box 243"/>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5" name="Text Box 244"/>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6" name="Text Box 245"/>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44</xdr:col>
      <xdr:colOff>552450</xdr:colOff>
      <xdr:row>0</xdr:row>
      <xdr:rowOff>9525</xdr:rowOff>
    </xdr:to>
    <xdr:sp>
      <xdr:nvSpPr>
        <xdr:cNvPr id="26597" name="Text Box 246"/>
        <xdr:cNvSpPr txBox="1">
          <a:spLocks noChangeArrowheads="1"/>
        </xdr:cNvSpPr>
      </xdr:nvSpPr>
      <xdr:spPr>
        <a:xfrm>
          <a:off x="11715750" y="0"/>
          <a:ext cx="5524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6598" name="Text Box 241"/>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6599" name="Text Box 242"/>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6600" name="Text Box 243"/>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6601" name="Text Box 244"/>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6602" name="Text Box 245"/>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381000</xdr:colOff>
      <xdr:row>0</xdr:row>
      <xdr:rowOff>0</xdr:rowOff>
    </xdr:from>
    <xdr:to>
      <xdr:col>45</xdr:col>
      <xdr:colOff>133350</xdr:colOff>
      <xdr:row>0</xdr:row>
      <xdr:rowOff>9525</xdr:rowOff>
    </xdr:to>
    <xdr:sp>
      <xdr:nvSpPr>
        <xdr:cNvPr id="26603" name="Text Box 246"/>
        <xdr:cNvSpPr txBox="1">
          <a:spLocks noChangeArrowheads="1"/>
        </xdr:cNvSpPr>
      </xdr:nvSpPr>
      <xdr:spPr>
        <a:xfrm>
          <a:off x="11715750" y="0"/>
          <a:ext cx="12477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14</xdr:col>
      <xdr:colOff>0</xdr:colOff>
      <xdr:row>113</xdr:row>
      <xdr:rowOff>0</xdr:rowOff>
    </xdr:from>
    <xdr:to>
      <xdr:col>43</xdr:col>
      <xdr:colOff>504825</xdr:colOff>
      <xdr:row>113</xdr:row>
      <xdr:rowOff>9525</xdr:rowOff>
    </xdr:to>
    <xdr:sp>
      <xdr:nvSpPr>
        <xdr:cNvPr id="50351" name="Text Box 241"/>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352" name="Text Box 242"/>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353" name="Text Box 243"/>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354" name="Text Box 244"/>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355" name="Text Box 245"/>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356" name="Text Box 246"/>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213</xdr:row>
      <xdr:rowOff>0</xdr:rowOff>
    </xdr:from>
    <xdr:to>
      <xdr:col>43</xdr:col>
      <xdr:colOff>504825</xdr:colOff>
      <xdr:row>213</xdr:row>
      <xdr:rowOff>9525</xdr:rowOff>
    </xdr:to>
    <xdr:sp>
      <xdr:nvSpPr>
        <xdr:cNvPr id="50357" name="Text Box 241"/>
        <xdr:cNvSpPr txBox="1">
          <a:spLocks noChangeArrowheads="1"/>
        </xdr:cNvSpPr>
      </xdr:nvSpPr>
      <xdr:spPr>
        <a:xfrm>
          <a:off x="12744450" y="16715041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213</xdr:row>
      <xdr:rowOff>0</xdr:rowOff>
    </xdr:from>
    <xdr:to>
      <xdr:col>43</xdr:col>
      <xdr:colOff>504825</xdr:colOff>
      <xdr:row>213</xdr:row>
      <xdr:rowOff>9525</xdr:rowOff>
    </xdr:to>
    <xdr:sp>
      <xdr:nvSpPr>
        <xdr:cNvPr id="50358" name="Text Box 242"/>
        <xdr:cNvSpPr txBox="1">
          <a:spLocks noChangeArrowheads="1"/>
        </xdr:cNvSpPr>
      </xdr:nvSpPr>
      <xdr:spPr>
        <a:xfrm>
          <a:off x="12744450" y="16715041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213</xdr:row>
      <xdr:rowOff>0</xdr:rowOff>
    </xdr:from>
    <xdr:to>
      <xdr:col>43</xdr:col>
      <xdr:colOff>504825</xdr:colOff>
      <xdr:row>213</xdr:row>
      <xdr:rowOff>9525</xdr:rowOff>
    </xdr:to>
    <xdr:sp>
      <xdr:nvSpPr>
        <xdr:cNvPr id="50359" name="Text Box 243"/>
        <xdr:cNvSpPr txBox="1">
          <a:spLocks noChangeArrowheads="1"/>
        </xdr:cNvSpPr>
      </xdr:nvSpPr>
      <xdr:spPr>
        <a:xfrm>
          <a:off x="12744450" y="16715041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213</xdr:row>
      <xdr:rowOff>0</xdr:rowOff>
    </xdr:from>
    <xdr:to>
      <xdr:col>43</xdr:col>
      <xdr:colOff>504825</xdr:colOff>
      <xdr:row>213</xdr:row>
      <xdr:rowOff>9525</xdr:rowOff>
    </xdr:to>
    <xdr:sp>
      <xdr:nvSpPr>
        <xdr:cNvPr id="50360" name="Text Box 244"/>
        <xdr:cNvSpPr txBox="1">
          <a:spLocks noChangeArrowheads="1"/>
        </xdr:cNvSpPr>
      </xdr:nvSpPr>
      <xdr:spPr>
        <a:xfrm>
          <a:off x="12744450" y="16715041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213</xdr:row>
      <xdr:rowOff>0</xdr:rowOff>
    </xdr:from>
    <xdr:to>
      <xdr:col>43</xdr:col>
      <xdr:colOff>504825</xdr:colOff>
      <xdr:row>213</xdr:row>
      <xdr:rowOff>9525</xdr:rowOff>
    </xdr:to>
    <xdr:sp>
      <xdr:nvSpPr>
        <xdr:cNvPr id="50361" name="Text Box 245"/>
        <xdr:cNvSpPr txBox="1">
          <a:spLocks noChangeArrowheads="1"/>
        </xdr:cNvSpPr>
      </xdr:nvSpPr>
      <xdr:spPr>
        <a:xfrm>
          <a:off x="12744450" y="16715041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213</xdr:row>
      <xdr:rowOff>0</xdr:rowOff>
    </xdr:from>
    <xdr:to>
      <xdr:col>43</xdr:col>
      <xdr:colOff>504825</xdr:colOff>
      <xdr:row>213</xdr:row>
      <xdr:rowOff>9525</xdr:rowOff>
    </xdr:to>
    <xdr:sp>
      <xdr:nvSpPr>
        <xdr:cNvPr id="50362" name="Text Box 246"/>
        <xdr:cNvSpPr txBox="1">
          <a:spLocks noChangeArrowheads="1"/>
        </xdr:cNvSpPr>
      </xdr:nvSpPr>
      <xdr:spPr>
        <a:xfrm>
          <a:off x="12744450" y="16715041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363" name="Text Box 241"/>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364" name="Text Box 242"/>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365" name="Text Box 243"/>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366" name="Text Box 244"/>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367" name="Text Box 245"/>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368" name="Text Box 246"/>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69"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70"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71"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72"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73"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74"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75"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76"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77"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78"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79"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80"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81"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82"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83"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84"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85"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386"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87"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88"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89"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90"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91"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392"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393" name="Text Box 241"/>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394" name="Text Box 242"/>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395" name="Text Box 243"/>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396" name="Text Box 244"/>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397" name="Text Box 245"/>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398" name="Text Box 246"/>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399" name="Text Box 241"/>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0" name="Text Box 242"/>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1" name="Text Box 243"/>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2" name="Text Box 244"/>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3" name="Text Box 245"/>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4" name="Text Box 246"/>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5" name="Text Box 241"/>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6" name="Text Box 242"/>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7" name="Text Box 243"/>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8" name="Text Box 244"/>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09" name="Text Box 245"/>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0" name="Text Box 246"/>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1" name="Text Box 241"/>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2" name="Text Box 242"/>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3" name="Text Box 243"/>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4" name="Text Box 244"/>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5" name="Text Box 245"/>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6" name="Text Box 246"/>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7" name="Text Box 241"/>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8" name="Text Box 242"/>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19" name="Text Box 243"/>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20" name="Text Box 244"/>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21" name="Text Box 245"/>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62</xdr:row>
      <xdr:rowOff>0</xdr:rowOff>
    </xdr:from>
    <xdr:to>
      <xdr:col>43</xdr:col>
      <xdr:colOff>504825</xdr:colOff>
      <xdr:row>62</xdr:row>
      <xdr:rowOff>9525</xdr:rowOff>
    </xdr:to>
    <xdr:sp>
      <xdr:nvSpPr>
        <xdr:cNvPr id="50422" name="Text Box 246"/>
        <xdr:cNvSpPr txBox="1">
          <a:spLocks noChangeArrowheads="1"/>
        </xdr:cNvSpPr>
      </xdr:nvSpPr>
      <xdr:spPr>
        <a:xfrm>
          <a:off x="12744450" y="5081143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23"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24"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25"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26"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27"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28"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29"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30"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31"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32"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33"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34"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69</xdr:row>
      <xdr:rowOff>0</xdr:rowOff>
    </xdr:from>
    <xdr:to>
      <xdr:col>43</xdr:col>
      <xdr:colOff>504825</xdr:colOff>
      <xdr:row>69</xdr:row>
      <xdr:rowOff>9525</xdr:rowOff>
    </xdr:to>
    <xdr:sp>
      <xdr:nvSpPr>
        <xdr:cNvPr id="50435" name="Text Box 241"/>
        <xdr:cNvSpPr txBox="1">
          <a:spLocks noChangeArrowheads="1"/>
        </xdr:cNvSpPr>
      </xdr:nvSpPr>
      <xdr:spPr>
        <a:xfrm>
          <a:off x="12744450" y="564026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69</xdr:row>
      <xdr:rowOff>0</xdr:rowOff>
    </xdr:from>
    <xdr:to>
      <xdr:col>43</xdr:col>
      <xdr:colOff>504825</xdr:colOff>
      <xdr:row>69</xdr:row>
      <xdr:rowOff>9525</xdr:rowOff>
    </xdr:to>
    <xdr:sp>
      <xdr:nvSpPr>
        <xdr:cNvPr id="50436" name="Text Box 242"/>
        <xdr:cNvSpPr txBox="1">
          <a:spLocks noChangeArrowheads="1"/>
        </xdr:cNvSpPr>
      </xdr:nvSpPr>
      <xdr:spPr>
        <a:xfrm>
          <a:off x="12744450" y="564026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69</xdr:row>
      <xdr:rowOff>0</xdr:rowOff>
    </xdr:from>
    <xdr:to>
      <xdr:col>43</xdr:col>
      <xdr:colOff>504825</xdr:colOff>
      <xdr:row>69</xdr:row>
      <xdr:rowOff>9525</xdr:rowOff>
    </xdr:to>
    <xdr:sp>
      <xdr:nvSpPr>
        <xdr:cNvPr id="50437" name="Text Box 243"/>
        <xdr:cNvSpPr txBox="1">
          <a:spLocks noChangeArrowheads="1"/>
        </xdr:cNvSpPr>
      </xdr:nvSpPr>
      <xdr:spPr>
        <a:xfrm>
          <a:off x="12744450" y="564026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69</xdr:row>
      <xdr:rowOff>0</xdr:rowOff>
    </xdr:from>
    <xdr:to>
      <xdr:col>43</xdr:col>
      <xdr:colOff>504825</xdr:colOff>
      <xdr:row>69</xdr:row>
      <xdr:rowOff>9525</xdr:rowOff>
    </xdr:to>
    <xdr:sp>
      <xdr:nvSpPr>
        <xdr:cNvPr id="50438" name="Text Box 244"/>
        <xdr:cNvSpPr txBox="1">
          <a:spLocks noChangeArrowheads="1"/>
        </xdr:cNvSpPr>
      </xdr:nvSpPr>
      <xdr:spPr>
        <a:xfrm>
          <a:off x="12744450" y="564026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69</xdr:row>
      <xdr:rowOff>0</xdr:rowOff>
    </xdr:from>
    <xdr:to>
      <xdr:col>43</xdr:col>
      <xdr:colOff>504825</xdr:colOff>
      <xdr:row>69</xdr:row>
      <xdr:rowOff>9525</xdr:rowOff>
    </xdr:to>
    <xdr:sp>
      <xdr:nvSpPr>
        <xdr:cNvPr id="50439" name="Text Box 245"/>
        <xdr:cNvSpPr txBox="1">
          <a:spLocks noChangeArrowheads="1"/>
        </xdr:cNvSpPr>
      </xdr:nvSpPr>
      <xdr:spPr>
        <a:xfrm>
          <a:off x="12744450" y="564026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69</xdr:row>
      <xdr:rowOff>0</xdr:rowOff>
    </xdr:from>
    <xdr:to>
      <xdr:col>43</xdr:col>
      <xdr:colOff>504825</xdr:colOff>
      <xdr:row>69</xdr:row>
      <xdr:rowOff>9525</xdr:rowOff>
    </xdr:to>
    <xdr:sp>
      <xdr:nvSpPr>
        <xdr:cNvPr id="50440" name="Text Box 246"/>
        <xdr:cNvSpPr txBox="1">
          <a:spLocks noChangeArrowheads="1"/>
        </xdr:cNvSpPr>
      </xdr:nvSpPr>
      <xdr:spPr>
        <a:xfrm>
          <a:off x="12744450" y="564026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83</xdr:row>
      <xdr:rowOff>0</xdr:rowOff>
    </xdr:from>
    <xdr:to>
      <xdr:col>43</xdr:col>
      <xdr:colOff>504825</xdr:colOff>
      <xdr:row>83</xdr:row>
      <xdr:rowOff>9525</xdr:rowOff>
    </xdr:to>
    <xdr:sp>
      <xdr:nvSpPr>
        <xdr:cNvPr id="50441" name="Text Box 241"/>
        <xdr:cNvSpPr txBox="1">
          <a:spLocks noChangeArrowheads="1"/>
        </xdr:cNvSpPr>
      </xdr:nvSpPr>
      <xdr:spPr>
        <a:xfrm>
          <a:off x="12744450" y="677164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83</xdr:row>
      <xdr:rowOff>0</xdr:rowOff>
    </xdr:from>
    <xdr:to>
      <xdr:col>43</xdr:col>
      <xdr:colOff>504825</xdr:colOff>
      <xdr:row>83</xdr:row>
      <xdr:rowOff>9525</xdr:rowOff>
    </xdr:to>
    <xdr:sp>
      <xdr:nvSpPr>
        <xdr:cNvPr id="50442" name="Text Box 242"/>
        <xdr:cNvSpPr txBox="1">
          <a:spLocks noChangeArrowheads="1"/>
        </xdr:cNvSpPr>
      </xdr:nvSpPr>
      <xdr:spPr>
        <a:xfrm>
          <a:off x="12744450" y="677164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83</xdr:row>
      <xdr:rowOff>0</xdr:rowOff>
    </xdr:from>
    <xdr:to>
      <xdr:col>43</xdr:col>
      <xdr:colOff>504825</xdr:colOff>
      <xdr:row>83</xdr:row>
      <xdr:rowOff>9525</xdr:rowOff>
    </xdr:to>
    <xdr:sp>
      <xdr:nvSpPr>
        <xdr:cNvPr id="50443" name="Text Box 243"/>
        <xdr:cNvSpPr txBox="1">
          <a:spLocks noChangeArrowheads="1"/>
        </xdr:cNvSpPr>
      </xdr:nvSpPr>
      <xdr:spPr>
        <a:xfrm>
          <a:off x="12744450" y="677164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83</xdr:row>
      <xdr:rowOff>0</xdr:rowOff>
    </xdr:from>
    <xdr:to>
      <xdr:col>43</xdr:col>
      <xdr:colOff>504825</xdr:colOff>
      <xdr:row>83</xdr:row>
      <xdr:rowOff>9525</xdr:rowOff>
    </xdr:to>
    <xdr:sp>
      <xdr:nvSpPr>
        <xdr:cNvPr id="50444" name="Text Box 244"/>
        <xdr:cNvSpPr txBox="1">
          <a:spLocks noChangeArrowheads="1"/>
        </xdr:cNvSpPr>
      </xdr:nvSpPr>
      <xdr:spPr>
        <a:xfrm>
          <a:off x="12744450" y="677164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83</xdr:row>
      <xdr:rowOff>0</xdr:rowOff>
    </xdr:from>
    <xdr:to>
      <xdr:col>43</xdr:col>
      <xdr:colOff>504825</xdr:colOff>
      <xdr:row>83</xdr:row>
      <xdr:rowOff>9525</xdr:rowOff>
    </xdr:to>
    <xdr:sp>
      <xdr:nvSpPr>
        <xdr:cNvPr id="50445" name="Text Box 245"/>
        <xdr:cNvSpPr txBox="1">
          <a:spLocks noChangeArrowheads="1"/>
        </xdr:cNvSpPr>
      </xdr:nvSpPr>
      <xdr:spPr>
        <a:xfrm>
          <a:off x="12744450" y="677164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83</xdr:row>
      <xdr:rowOff>0</xdr:rowOff>
    </xdr:from>
    <xdr:to>
      <xdr:col>43</xdr:col>
      <xdr:colOff>504825</xdr:colOff>
      <xdr:row>83</xdr:row>
      <xdr:rowOff>9525</xdr:rowOff>
    </xdr:to>
    <xdr:sp>
      <xdr:nvSpPr>
        <xdr:cNvPr id="50446" name="Text Box 246"/>
        <xdr:cNvSpPr txBox="1">
          <a:spLocks noChangeArrowheads="1"/>
        </xdr:cNvSpPr>
      </xdr:nvSpPr>
      <xdr:spPr>
        <a:xfrm>
          <a:off x="12744450" y="677164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447" name="Text Box 241"/>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448" name="Text Box 242"/>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449" name="Text Box 243"/>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450" name="Text Box 244"/>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451" name="Text Box 245"/>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452" name="Text Box 246"/>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453" name="Text Box 241"/>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454" name="Text Box 242"/>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455" name="Text Box 243"/>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456" name="Text Box 244"/>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457" name="Text Box 245"/>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120</xdr:row>
      <xdr:rowOff>0</xdr:rowOff>
    </xdr:from>
    <xdr:to>
      <xdr:col>43</xdr:col>
      <xdr:colOff>504825</xdr:colOff>
      <xdr:row>120</xdr:row>
      <xdr:rowOff>9525</xdr:rowOff>
    </xdr:to>
    <xdr:sp>
      <xdr:nvSpPr>
        <xdr:cNvPr id="50458" name="Text Box 246"/>
        <xdr:cNvSpPr txBox="1">
          <a:spLocks noChangeArrowheads="1"/>
        </xdr:cNvSpPr>
      </xdr:nvSpPr>
      <xdr:spPr>
        <a:xfrm>
          <a:off x="12744450" y="978217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459" name="Text Box 241"/>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460" name="Text Box 242"/>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461" name="Text Box 243"/>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462" name="Text Box 244"/>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463" name="Text Box 245"/>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464" name="Text Box 246"/>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465" name="Text Box 241"/>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466" name="Text Box 242"/>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467" name="Text Box 243"/>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468" name="Text Box 244"/>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469" name="Text Box 245"/>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470" name="Text Box 246"/>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71" name="Text Box 241"/>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72" name="Text Box 242"/>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73" name="Text Box 243"/>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74" name="Text Box 244"/>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75" name="Text Box 245"/>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76" name="Text Box 246"/>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77"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78"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79"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80"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81"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482"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83" name="Text Box 241"/>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84" name="Text Box 242"/>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85" name="Text Box 243"/>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86" name="Text Box 244"/>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87" name="Text Box 245"/>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488" name="Text Box 246"/>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489" name="Text Box 241"/>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490" name="Text Box 242"/>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491" name="Text Box 243"/>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492" name="Text Box 244"/>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493" name="Text Box 245"/>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494" name="Text Box 246"/>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95"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96"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97"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98"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499"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00"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501" name="Text Box 241"/>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502" name="Text Box 242"/>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503" name="Text Box 243"/>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504" name="Text Box 244"/>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505" name="Text Box 245"/>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506" name="Text Box 246"/>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507" name="Text Box 241"/>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508" name="Text Box 242"/>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509" name="Text Box 243"/>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510" name="Text Box 244"/>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511" name="Text Box 245"/>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512" name="Text Box 246"/>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13" name="Text Box 241"/>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14" name="Text Box 242"/>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15" name="Text Box 243"/>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16" name="Text Box 244"/>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17" name="Text Box 245"/>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18" name="Text Box 246"/>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19"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20"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21"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22"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23"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24"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25"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26"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27"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28"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29"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30"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31"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32"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33"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34"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35"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36"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37"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38"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39"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40"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41"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42"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43" name="Text Box 241"/>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44" name="Text Box 242"/>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45" name="Text Box 243"/>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46" name="Text Box 244"/>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47" name="Text Box 245"/>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48" name="Text Box 246"/>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49" name="Text Box 241"/>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0" name="Text Box 242"/>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1" name="Text Box 243"/>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2" name="Text Box 244"/>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3" name="Text Box 245"/>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4" name="Text Box 246"/>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5" name="Text Box 241"/>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6" name="Text Box 242"/>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7" name="Text Box 243"/>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8" name="Text Box 244"/>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59" name="Text Box 245"/>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60" name="Text Box 246"/>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61" name="Text Box 241"/>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62" name="Text Box 242"/>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63" name="Text Box 243"/>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64" name="Text Box 244"/>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65" name="Text Box 245"/>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63</xdr:row>
      <xdr:rowOff>0</xdr:rowOff>
    </xdr:from>
    <xdr:to>
      <xdr:col>43</xdr:col>
      <xdr:colOff>504825</xdr:colOff>
      <xdr:row>63</xdr:row>
      <xdr:rowOff>9525</xdr:rowOff>
    </xdr:to>
    <xdr:sp>
      <xdr:nvSpPr>
        <xdr:cNvPr id="50566" name="Text Box 246"/>
        <xdr:cNvSpPr txBox="1">
          <a:spLocks noChangeArrowheads="1"/>
        </xdr:cNvSpPr>
      </xdr:nvSpPr>
      <xdr:spPr>
        <a:xfrm>
          <a:off x="12744450" y="5158295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67"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68"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69"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70"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71"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572"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73"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74"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75"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76"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77"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578"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70</xdr:row>
      <xdr:rowOff>0</xdr:rowOff>
    </xdr:from>
    <xdr:to>
      <xdr:col>43</xdr:col>
      <xdr:colOff>504825</xdr:colOff>
      <xdr:row>70</xdr:row>
      <xdr:rowOff>9525</xdr:rowOff>
    </xdr:to>
    <xdr:sp>
      <xdr:nvSpPr>
        <xdr:cNvPr id="50579" name="Text Box 241"/>
        <xdr:cNvSpPr txBox="1">
          <a:spLocks noChangeArrowheads="1"/>
        </xdr:cNvSpPr>
      </xdr:nvSpPr>
      <xdr:spPr>
        <a:xfrm>
          <a:off x="12744450" y="572027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70</xdr:row>
      <xdr:rowOff>0</xdr:rowOff>
    </xdr:from>
    <xdr:to>
      <xdr:col>43</xdr:col>
      <xdr:colOff>504825</xdr:colOff>
      <xdr:row>70</xdr:row>
      <xdr:rowOff>9525</xdr:rowOff>
    </xdr:to>
    <xdr:sp>
      <xdr:nvSpPr>
        <xdr:cNvPr id="50580" name="Text Box 242"/>
        <xdr:cNvSpPr txBox="1">
          <a:spLocks noChangeArrowheads="1"/>
        </xdr:cNvSpPr>
      </xdr:nvSpPr>
      <xdr:spPr>
        <a:xfrm>
          <a:off x="12744450" y="572027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70</xdr:row>
      <xdr:rowOff>0</xdr:rowOff>
    </xdr:from>
    <xdr:to>
      <xdr:col>43</xdr:col>
      <xdr:colOff>504825</xdr:colOff>
      <xdr:row>70</xdr:row>
      <xdr:rowOff>9525</xdr:rowOff>
    </xdr:to>
    <xdr:sp>
      <xdr:nvSpPr>
        <xdr:cNvPr id="50581" name="Text Box 243"/>
        <xdr:cNvSpPr txBox="1">
          <a:spLocks noChangeArrowheads="1"/>
        </xdr:cNvSpPr>
      </xdr:nvSpPr>
      <xdr:spPr>
        <a:xfrm>
          <a:off x="12744450" y="572027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70</xdr:row>
      <xdr:rowOff>0</xdr:rowOff>
    </xdr:from>
    <xdr:to>
      <xdr:col>43</xdr:col>
      <xdr:colOff>504825</xdr:colOff>
      <xdr:row>70</xdr:row>
      <xdr:rowOff>9525</xdr:rowOff>
    </xdr:to>
    <xdr:sp>
      <xdr:nvSpPr>
        <xdr:cNvPr id="50582" name="Text Box 244"/>
        <xdr:cNvSpPr txBox="1">
          <a:spLocks noChangeArrowheads="1"/>
        </xdr:cNvSpPr>
      </xdr:nvSpPr>
      <xdr:spPr>
        <a:xfrm>
          <a:off x="12744450" y="572027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70</xdr:row>
      <xdr:rowOff>0</xdr:rowOff>
    </xdr:from>
    <xdr:to>
      <xdr:col>43</xdr:col>
      <xdr:colOff>504825</xdr:colOff>
      <xdr:row>70</xdr:row>
      <xdr:rowOff>9525</xdr:rowOff>
    </xdr:to>
    <xdr:sp>
      <xdr:nvSpPr>
        <xdr:cNvPr id="50583" name="Text Box 245"/>
        <xdr:cNvSpPr txBox="1">
          <a:spLocks noChangeArrowheads="1"/>
        </xdr:cNvSpPr>
      </xdr:nvSpPr>
      <xdr:spPr>
        <a:xfrm>
          <a:off x="12744450" y="572027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70</xdr:row>
      <xdr:rowOff>0</xdr:rowOff>
    </xdr:from>
    <xdr:to>
      <xdr:col>43</xdr:col>
      <xdr:colOff>504825</xdr:colOff>
      <xdr:row>70</xdr:row>
      <xdr:rowOff>9525</xdr:rowOff>
    </xdr:to>
    <xdr:sp>
      <xdr:nvSpPr>
        <xdr:cNvPr id="50584" name="Text Box 246"/>
        <xdr:cNvSpPr txBox="1">
          <a:spLocks noChangeArrowheads="1"/>
        </xdr:cNvSpPr>
      </xdr:nvSpPr>
      <xdr:spPr>
        <a:xfrm>
          <a:off x="12744450" y="572027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84</xdr:row>
      <xdr:rowOff>0</xdr:rowOff>
    </xdr:from>
    <xdr:to>
      <xdr:col>43</xdr:col>
      <xdr:colOff>504825</xdr:colOff>
      <xdr:row>84</xdr:row>
      <xdr:rowOff>9525</xdr:rowOff>
    </xdr:to>
    <xdr:sp>
      <xdr:nvSpPr>
        <xdr:cNvPr id="50585" name="Text Box 241"/>
        <xdr:cNvSpPr txBox="1">
          <a:spLocks noChangeArrowheads="1"/>
        </xdr:cNvSpPr>
      </xdr:nvSpPr>
      <xdr:spPr>
        <a:xfrm>
          <a:off x="12744450" y="689641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84</xdr:row>
      <xdr:rowOff>0</xdr:rowOff>
    </xdr:from>
    <xdr:to>
      <xdr:col>43</xdr:col>
      <xdr:colOff>504825</xdr:colOff>
      <xdr:row>84</xdr:row>
      <xdr:rowOff>9525</xdr:rowOff>
    </xdr:to>
    <xdr:sp>
      <xdr:nvSpPr>
        <xdr:cNvPr id="50586" name="Text Box 242"/>
        <xdr:cNvSpPr txBox="1">
          <a:spLocks noChangeArrowheads="1"/>
        </xdr:cNvSpPr>
      </xdr:nvSpPr>
      <xdr:spPr>
        <a:xfrm>
          <a:off x="12744450" y="689641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84</xdr:row>
      <xdr:rowOff>0</xdr:rowOff>
    </xdr:from>
    <xdr:to>
      <xdr:col>43</xdr:col>
      <xdr:colOff>504825</xdr:colOff>
      <xdr:row>84</xdr:row>
      <xdr:rowOff>9525</xdr:rowOff>
    </xdr:to>
    <xdr:sp>
      <xdr:nvSpPr>
        <xdr:cNvPr id="50587" name="Text Box 243"/>
        <xdr:cNvSpPr txBox="1">
          <a:spLocks noChangeArrowheads="1"/>
        </xdr:cNvSpPr>
      </xdr:nvSpPr>
      <xdr:spPr>
        <a:xfrm>
          <a:off x="12744450" y="689641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84</xdr:row>
      <xdr:rowOff>0</xdr:rowOff>
    </xdr:from>
    <xdr:to>
      <xdr:col>43</xdr:col>
      <xdr:colOff>504825</xdr:colOff>
      <xdr:row>84</xdr:row>
      <xdr:rowOff>9525</xdr:rowOff>
    </xdr:to>
    <xdr:sp>
      <xdr:nvSpPr>
        <xdr:cNvPr id="50588" name="Text Box 244"/>
        <xdr:cNvSpPr txBox="1">
          <a:spLocks noChangeArrowheads="1"/>
        </xdr:cNvSpPr>
      </xdr:nvSpPr>
      <xdr:spPr>
        <a:xfrm>
          <a:off x="12744450" y="689641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84</xdr:row>
      <xdr:rowOff>0</xdr:rowOff>
    </xdr:from>
    <xdr:to>
      <xdr:col>43</xdr:col>
      <xdr:colOff>504825</xdr:colOff>
      <xdr:row>84</xdr:row>
      <xdr:rowOff>9525</xdr:rowOff>
    </xdr:to>
    <xdr:sp>
      <xdr:nvSpPr>
        <xdr:cNvPr id="50589" name="Text Box 245"/>
        <xdr:cNvSpPr txBox="1">
          <a:spLocks noChangeArrowheads="1"/>
        </xdr:cNvSpPr>
      </xdr:nvSpPr>
      <xdr:spPr>
        <a:xfrm>
          <a:off x="12744450" y="689641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84</xdr:row>
      <xdr:rowOff>0</xdr:rowOff>
    </xdr:from>
    <xdr:to>
      <xdr:col>43</xdr:col>
      <xdr:colOff>504825</xdr:colOff>
      <xdr:row>84</xdr:row>
      <xdr:rowOff>9525</xdr:rowOff>
    </xdr:to>
    <xdr:sp>
      <xdr:nvSpPr>
        <xdr:cNvPr id="50590" name="Text Box 246"/>
        <xdr:cNvSpPr txBox="1">
          <a:spLocks noChangeArrowheads="1"/>
        </xdr:cNvSpPr>
      </xdr:nvSpPr>
      <xdr:spPr>
        <a:xfrm>
          <a:off x="12744450" y="689641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591" name="Text Box 241"/>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592" name="Text Box 242"/>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593" name="Text Box 243"/>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594" name="Text Box 244"/>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595" name="Text Box 245"/>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103</xdr:row>
      <xdr:rowOff>0</xdr:rowOff>
    </xdr:from>
    <xdr:to>
      <xdr:col>43</xdr:col>
      <xdr:colOff>504825</xdr:colOff>
      <xdr:row>103</xdr:row>
      <xdr:rowOff>9525</xdr:rowOff>
    </xdr:to>
    <xdr:sp>
      <xdr:nvSpPr>
        <xdr:cNvPr id="50596" name="Text Box 246"/>
        <xdr:cNvSpPr txBox="1">
          <a:spLocks noChangeArrowheads="1"/>
        </xdr:cNvSpPr>
      </xdr:nvSpPr>
      <xdr:spPr>
        <a:xfrm>
          <a:off x="12744450" y="832358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97" name="Text Box 241"/>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98" name="Text Box 242"/>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599" name="Text Box 243"/>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600" name="Text Box 244"/>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601" name="Text Box 245"/>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602" name="Text Box 246"/>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603" name="Text Box 241"/>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604" name="Text Box 242"/>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605" name="Text Box 243"/>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606" name="Text Box 244"/>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607" name="Text Box 245"/>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23</xdr:row>
      <xdr:rowOff>0</xdr:rowOff>
    </xdr:from>
    <xdr:to>
      <xdr:col>43</xdr:col>
      <xdr:colOff>504825</xdr:colOff>
      <xdr:row>23</xdr:row>
      <xdr:rowOff>9525</xdr:rowOff>
    </xdr:to>
    <xdr:sp>
      <xdr:nvSpPr>
        <xdr:cNvPr id="50608" name="Text Box 246"/>
        <xdr:cNvSpPr txBox="1">
          <a:spLocks noChangeArrowheads="1"/>
        </xdr:cNvSpPr>
      </xdr:nvSpPr>
      <xdr:spPr>
        <a:xfrm>
          <a:off x="12744450" y="197453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09" name="Text Box 241"/>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10" name="Text Box 242"/>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11" name="Text Box 243"/>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12" name="Text Box 244"/>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13" name="Text Box 245"/>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14" name="Text Box 246"/>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615"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616"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617"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618"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619"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620"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21" name="Text Box 241"/>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22" name="Text Box 242"/>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23" name="Text Box 243"/>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24" name="Text Box 244"/>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25" name="Text Box 245"/>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35</xdr:row>
      <xdr:rowOff>0</xdr:rowOff>
    </xdr:from>
    <xdr:to>
      <xdr:col>43</xdr:col>
      <xdr:colOff>504825</xdr:colOff>
      <xdr:row>35</xdr:row>
      <xdr:rowOff>9525</xdr:rowOff>
    </xdr:to>
    <xdr:sp>
      <xdr:nvSpPr>
        <xdr:cNvPr id="50626" name="Text Box 246"/>
        <xdr:cNvSpPr txBox="1">
          <a:spLocks noChangeArrowheads="1"/>
        </xdr:cNvSpPr>
      </xdr:nvSpPr>
      <xdr:spPr>
        <a:xfrm>
          <a:off x="12744450" y="296322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627" name="Text Box 241"/>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628" name="Text Box 242"/>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629" name="Text Box 243"/>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630" name="Text Box 244"/>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631" name="Text Box 245"/>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632" name="Text Box 246"/>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633"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634"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635"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636"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637"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638"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639" name="Text Box 241"/>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640" name="Text Box 242"/>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641" name="Text Box 243"/>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642" name="Text Box 244"/>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643" name="Text Box 245"/>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112</xdr:row>
      <xdr:rowOff>0</xdr:rowOff>
    </xdr:from>
    <xdr:to>
      <xdr:col>43</xdr:col>
      <xdr:colOff>504825</xdr:colOff>
      <xdr:row>112</xdr:row>
      <xdr:rowOff>9525</xdr:rowOff>
    </xdr:to>
    <xdr:sp>
      <xdr:nvSpPr>
        <xdr:cNvPr id="50644" name="Text Box 246"/>
        <xdr:cNvSpPr txBox="1">
          <a:spLocks noChangeArrowheads="1"/>
        </xdr:cNvSpPr>
      </xdr:nvSpPr>
      <xdr:spPr>
        <a:xfrm>
          <a:off x="12744450" y="920273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45"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46"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47"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48"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49"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0"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1"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2"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3"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4"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5"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6"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7"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8"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59"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0"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1"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2"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3"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4"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5"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6"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7"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8"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69"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0"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1"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2"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3"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4"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5"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6"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7"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8"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79"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0"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1"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2"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3"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4"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5"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6"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7"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8"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89"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0"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1"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2"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3"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4"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5"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6"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7"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8"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699"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0"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1"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2"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3"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4"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5"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6"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7"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8"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09"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0"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1"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2"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3"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4"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5"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6"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7"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8"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19"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0"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1"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2"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3"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4"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5"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6"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7"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8"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29"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0"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1"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2"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3"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4"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5"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6"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7"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8"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39"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0"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1"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2"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3"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4"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5"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6"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7" name="Text Box 241"/>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8" name="Text Box 242"/>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49" name="Text Box 243"/>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50" name="Text Box 244"/>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51" name="Text Box 245"/>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97</xdr:row>
      <xdr:rowOff>0</xdr:rowOff>
    </xdr:from>
    <xdr:to>
      <xdr:col>43</xdr:col>
      <xdr:colOff>514350</xdr:colOff>
      <xdr:row>97</xdr:row>
      <xdr:rowOff>9525</xdr:rowOff>
    </xdr:to>
    <xdr:sp>
      <xdr:nvSpPr>
        <xdr:cNvPr id="50752" name="Text Box 246"/>
        <xdr:cNvSpPr txBox="1">
          <a:spLocks noChangeArrowheads="1"/>
        </xdr:cNvSpPr>
      </xdr:nvSpPr>
      <xdr:spPr>
        <a:xfrm>
          <a:off x="12744450" y="7785862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53" name="Text Box 241"/>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54" name="Text Box 242"/>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55" name="Text Box 243"/>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56" name="Text Box 244"/>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57" name="Text Box 245"/>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58" name="Text Box 246"/>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59" name="Text Box 241"/>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60" name="Text Box 242"/>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61" name="Text Box 243"/>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62" name="Text Box 244"/>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63" name="Text Box 245"/>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108</xdr:row>
      <xdr:rowOff>0</xdr:rowOff>
    </xdr:from>
    <xdr:to>
      <xdr:col>43</xdr:col>
      <xdr:colOff>504825</xdr:colOff>
      <xdr:row>108</xdr:row>
      <xdr:rowOff>9525</xdr:rowOff>
    </xdr:to>
    <xdr:sp>
      <xdr:nvSpPr>
        <xdr:cNvPr id="50764" name="Text Box 246"/>
        <xdr:cNvSpPr txBox="1">
          <a:spLocks noChangeArrowheads="1"/>
        </xdr:cNvSpPr>
      </xdr:nvSpPr>
      <xdr:spPr>
        <a:xfrm>
          <a:off x="12744450" y="881030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65" name="Text Box 241"/>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66" name="Text Box 242"/>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67" name="Text Box 243"/>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68" name="Text Box 244"/>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69" name="Text Box 245"/>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70" name="Text Box 246"/>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110</xdr:row>
      <xdr:rowOff>0</xdr:rowOff>
    </xdr:from>
    <xdr:to>
      <xdr:col>43</xdr:col>
      <xdr:colOff>504825</xdr:colOff>
      <xdr:row>110</xdr:row>
      <xdr:rowOff>9525</xdr:rowOff>
    </xdr:to>
    <xdr:sp>
      <xdr:nvSpPr>
        <xdr:cNvPr id="50771" name="Text Box 241"/>
        <xdr:cNvSpPr txBox="1">
          <a:spLocks noChangeArrowheads="1"/>
        </xdr:cNvSpPr>
      </xdr:nvSpPr>
      <xdr:spPr>
        <a:xfrm>
          <a:off x="12744450" y="900652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110</xdr:row>
      <xdr:rowOff>0</xdr:rowOff>
    </xdr:from>
    <xdr:to>
      <xdr:col>43</xdr:col>
      <xdr:colOff>504825</xdr:colOff>
      <xdr:row>110</xdr:row>
      <xdr:rowOff>9525</xdr:rowOff>
    </xdr:to>
    <xdr:sp>
      <xdr:nvSpPr>
        <xdr:cNvPr id="50772" name="Text Box 242"/>
        <xdr:cNvSpPr txBox="1">
          <a:spLocks noChangeArrowheads="1"/>
        </xdr:cNvSpPr>
      </xdr:nvSpPr>
      <xdr:spPr>
        <a:xfrm>
          <a:off x="12744450" y="900652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110</xdr:row>
      <xdr:rowOff>0</xdr:rowOff>
    </xdr:from>
    <xdr:to>
      <xdr:col>43</xdr:col>
      <xdr:colOff>504825</xdr:colOff>
      <xdr:row>110</xdr:row>
      <xdr:rowOff>9525</xdr:rowOff>
    </xdr:to>
    <xdr:sp>
      <xdr:nvSpPr>
        <xdr:cNvPr id="50773" name="Text Box 243"/>
        <xdr:cNvSpPr txBox="1">
          <a:spLocks noChangeArrowheads="1"/>
        </xdr:cNvSpPr>
      </xdr:nvSpPr>
      <xdr:spPr>
        <a:xfrm>
          <a:off x="12744450" y="900652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110</xdr:row>
      <xdr:rowOff>0</xdr:rowOff>
    </xdr:from>
    <xdr:to>
      <xdr:col>43</xdr:col>
      <xdr:colOff>504825</xdr:colOff>
      <xdr:row>110</xdr:row>
      <xdr:rowOff>9525</xdr:rowOff>
    </xdr:to>
    <xdr:sp>
      <xdr:nvSpPr>
        <xdr:cNvPr id="50774" name="Text Box 244"/>
        <xdr:cNvSpPr txBox="1">
          <a:spLocks noChangeArrowheads="1"/>
        </xdr:cNvSpPr>
      </xdr:nvSpPr>
      <xdr:spPr>
        <a:xfrm>
          <a:off x="12744450" y="900652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110</xdr:row>
      <xdr:rowOff>0</xdr:rowOff>
    </xdr:from>
    <xdr:to>
      <xdr:col>43</xdr:col>
      <xdr:colOff>504825</xdr:colOff>
      <xdr:row>110</xdr:row>
      <xdr:rowOff>9525</xdr:rowOff>
    </xdr:to>
    <xdr:sp>
      <xdr:nvSpPr>
        <xdr:cNvPr id="50775" name="Text Box 245"/>
        <xdr:cNvSpPr txBox="1">
          <a:spLocks noChangeArrowheads="1"/>
        </xdr:cNvSpPr>
      </xdr:nvSpPr>
      <xdr:spPr>
        <a:xfrm>
          <a:off x="12744450" y="900652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110</xdr:row>
      <xdr:rowOff>0</xdr:rowOff>
    </xdr:from>
    <xdr:to>
      <xdr:col>43</xdr:col>
      <xdr:colOff>504825</xdr:colOff>
      <xdr:row>110</xdr:row>
      <xdr:rowOff>9525</xdr:rowOff>
    </xdr:to>
    <xdr:sp>
      <xdr:nvSpPr>
        <xdr:cNvPr id="50776" name="Text Box 246"/>
        <xdr:cNvSpPr txBox="1">
          <a:spLocks noChangeArrowheads="1"/>
        </xdr:cNvSpPr>
      </xdr:nvSpPr>
      <xdr:spPr>
        <a:xfrm>
          <a:off x="12744450" y="9006522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77" name="Text Box 241"/>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78" name="Text Box 242"/>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79" name="Text Box 243"/>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80" name="Text Box 244"/>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81" name="Text Box 245"/>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782" name="Text Box 246"/>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783" name="Text Box 241"/>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784" name="Text Box 242"/>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785" name="Text Box 243"/>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786" name="Text Box 244"/>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787" name="Text Box 245"/>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788" name="Text Box 246"/>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113</xdr:row>
      <xdr:rowOff>0</xdr:rowOff>
    </xdr:from>
    <xdr:to>
      <xdr:col>0</xdr:col>
      <xdr:colOff>514350</xdr:colOff>
      <xdr:row>113</xdr:row>
      <xdr:rowOff>9525</xdr:rowOff>
    </xdr:to>
    <xdr:sp>
      <xdr:nvSpPr>
        <xdr:cNvPr id="50789" name="Text Box 241"/>
        <xdr:cNvSpPr txBox="1">
          <a:spLocks noChangeArrowheads="1"/>
        </xdr:cNvSpPr>
      </xdr:nvSpPr>
      <xdr:spPr>
        <a:xfrm>
          <a:off x="504825" y="93008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113</xdr:row>
      <xdr:rowOff>0</xdr:rowOff>
    </xdr:from>
    <xdr:to>
      <xdr:col>0</xdr:col>
      <xdr:colOff>514350</xdr:colOff>
      <xdr:row>113</xdr:row>
      <xdr:rowOff>9525</xdr:rowOff>
    </xdr:to>
    <xdr:sp>
      <xdr:nvSpPr>
        <xdr:cNvPr id="50790" name="Text Box 242"/>
        <xdr:cNvSpPr txBox="1">
          <a:spLocks noChangeArrowheads="1"/>
        </xdr:cNvSpPr>
      </xdr:nvSpPr>
      <xdr:spPr>
        <a:xfrm>
          <a:off x="504825" y="93008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113</xdr:row>
      <xdr:rowOff>0</xdr:rowOff>
    </xdr:from>
    <xdr:to>
      <xdr:col>0</xdr:col>
      <xdr:colOff>514350</xdr:colOff>
      <xdr:row>113</xdr:row>
      <xdr:rowOff>9525</xdr:rowOff>
    </xdr:to>
    <xdr:sp>
      <xdr:nvSpPr>
        <xdr:cNvPr id="50791" name="Text Box 243"/>
        <xdr:cNvSpPr txBox="1">
          <a:spLocks noChangeArrowheads="1"/>
        </xdr:cNvSpPr>
      </xdr:nvSpPr>
      <xdr:spPr>
        <a:xfrm>
          <a:off x="504825" y="93008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113</xdr:row>
      <xdr:rowOff>0</xdr:rowOff>
    </xdr:from>
    <xdr:to>
      <xdr:col>0</xdr:col>
      <xdr:colOff>514350</xdr:colOff>
      <xdr:row>113</xdr:row>
      <xdr:rowOff>9525</xdr:rowOff>
    </xdr:to>
    <xdr:sp>
      <xdr:nvSpPr>
        <xdr:cNvPr id="50792" name="Text Box 244"/>
        <xdr:cNvSpPr txBox="1">
          <a:spLocks noChangeArrowheads="1"/>
        </xdr:cNvSpPr>
      </xdr:nvSpPr>
      <xdr:spPr>
        <a:xfrm>
          <a:off x="504825" y="93008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113</xdr:row>
      <xdr:rowOff>0</xdr:rowOff>
    </xdr:from>
    <xdr:to>
      <xdr:col>0</xdr:col>
      <xdr:colOff>514350</xdr:colOff>
      <xdr:row>113</xdr:row>
      <xdr:rowOff>9525</xdr:rowOff>
    </xdr:to>
    <xdr:sp>
      <xdr:nvSpPr>
        <xdr:cNvPr id="50793" name="Text Box 245"/>
        <xdr:cNvSpPr txBox="1">
          <a:spLocks noChangeArrowheads="1"/>
        </xdr:cNvSpPr>
      </xdr:nvSpPr>
      <xdr:spPr>
        <a:xfrm>
          <a:off x="504825" y="93008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113</xdr:row>
      <xdr:rowOff>0</xdr:rowOff>
    </xdr:from>
    <xdr:to>
      <xdr:col>0</xdr:col>
      <xdr:colOff>514350</xdr:colOff>
      <xdr:row>113</xdr:row>
      <xdr:rowOff>9525</xdr:rowOff>
    </xdr:to>
    <xdr:sp>
      <xdr:nvSpPr>
        <xdr:cNvPr id="50794" name="Text Box 246"/>
        <xdr:cNvSpPr txBox="1">
          <a:spLocks noChangeArrowheads="1"/>
        </xdr:cNvSpPr>
      </xdr:nvSpPr>
      <xdr:spPr>
        <a:xfrm>
          <a:off x="504825" y="930084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795" name="Text Box 241"/>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796" name="Text Box 242"/>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797" name="Text Box 243"/>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798" name="Text Box 244"/>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799" name="Text Box 245"/>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800" name="Text Box 246"/>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801" name="Text Box 241"/>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802" name="Text Box 242"/>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803" name="Text Box 243"/>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804" name="Text Box 244"/>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805" name="Text Box 245"/>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504825</xdr:colOff>
      <xdr:row>109</xdr:row>
      <xdr:rowOff>0</xdr:rowOff>
    </xdr:from>
    <xdr:to>
      <xdr:col>0</xdr:col>
      <xdr:colOff>514350</xdr:colOff>
      <xdr:row>109</xdr:row>
      <xdr:rowOff>9525</xdr:rowOff>
    </xdr:to>
    <xdr:sp>
      <xdr:nvSpPr>
        <xdr:cNvPr id="50806" name="Text Box 246"/>
        <xdr:cNvSpPr txBox="1">
          <a:spLocks noChangeArrowheads="1"/>
        </xdr:cNvSpPr>
      </xdr:nvSpPr>
      <xdr:spPr>
        <a:xfrm>
          <a:off x="504825" y="890841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807" name="Text Box 241"/>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808" name="Text Box 242"/>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809" name="Text Box 243"/>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810" name="Text Box 244"/>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811" name="Text Box 245"/>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113</xdr:row>
      <xdr:rowOff>0</xdr:rowOff>
    </xdr:from>
    <xdr:to>
      <xdr:col>43</xdr:col>
      <xdr:colOff>504825</xdr:colOff>
      <xdr:row>113</xdr:row>
      <xdr:rowOff>9525</xdr:rowOff>
    </xdr:to>
    <xdr:sp>
      <xdr:nvSpPr>
        <xdr:cNvPr id="50812" name="Text Box 246"/>
        <xdr:cNvSpPr txBox="1">
          <a:spLocks noChangeArrowheads="1"/>
        </xdr:cNvSpPr>
      </xdr:nvSpPr>
      <xdr:spPr>
        <a:xfrm>
          <a:off x="12744450" y="93008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13" name="Text Box 241"/>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14" name="Text Box 242"/>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15" name="Text Box 243"/>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16" name="Text Box 244"/>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17" name="Text Box 245"/>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18" name="Text Box 246"/>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19" name="Text Box 241"/>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20" name="Text Box 242"/>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21" name="Text Box 243"/>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22" name="Text Box 244"/>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23" name="Text Box 245"/>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109</xdr:row>
      <xdr:rowOff>0</xdr:rowOff>
    </xdr:from>
    <xdr:to>
      <xdr:col>43</xdr:col>
      <xdr:colOff>504825</xdr:colOff>
      <xdr:row>109</xdr:row>
      <xdr:rowOff>9525</xdr:rowOff>
    </xdr:to>
    <xdr:sp>
      <xdr:nvSpPr>
        <xdr:cNvPr id="50824" name="Text Box 246"/>
        <xdr:cNvSpPr txBox="1">
          <a:spLocks noChangeArrowheads="1"/>
        </xdr:cNvSpPr>
      </xdr:nvSpPr>
      <xdr:spPr>
        <a:xfrm>
          <a:off x="12744450" y="890841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67</xdr:row>
      <xdr:rowOff>0</xdr:rowOff>
    </xdr:from>
    <xdr:to>
      <xdr:col>43</xdr:col>
      <xdr:colOff>504825</xdr:colOff>
      <xdr:row>67</xdr:row>
      <xdr:rowOff>9525</xdr:rowOff>
    </xdr:to>
    <xdr:sp>
      <xdr:nvSpPr>
        <xdr:cNvPr id="50825" name="Text Box 241"/>
        <xdr:cNvSpPr txBox="1">
          <a:spLocks noChangeArrowheads="1"/>
        </xdr:cNvSpPr>
      </xdr:nvSpPr>
      <xdr:spPr>
        <a:xfrm>
          <a:off x="12744450" y="548024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67</xdr:row>
      <xdr:rowOff>0</xdr:rowOff>
    </xdr:from>
    <xdr:to>
      <xdr:col>43</xdr:col>
      <xdr:colOff>504825</xdr:colOff>
      <xdr:row>67</xdr:row>
      <xdr:rowOff>9525</xdr:rowOff>
    </xdr:to>
    <xdr:sp>
      <xdr:nvSpPr>
        <xdr:cNvPr id="50826" name="Text Box 242"/>
        <xdr:cNvSpPr txBox="1">
          <a:spLocks noChangeArrowheads="1"/>
        </xdr:cNvSpPr>
      </xdr:nvSpPr>
      <xdr:spPr>
        <a:xfrm>
          <a:off x="12744450" y="548024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67</xdr:row>
      <xdr:rowOff>0</xdr:rowOff>
    </xdr:from>
    <xdr:to>
      <xdr:col>43</xdr:col>
      <xdr:colOff>504825</xdr:colOff>
      <xdr:row>67</xdr:row>
      <xdr:rowOff>9525</xdr:rowOff>
    </xdr:to>
    <xdr:sp>
      <xdr:nvSpPr>
        <xdr:cNvPr id="50827" name="Text Box 243"/>
        <xdr:cNvSpPr txBox="1">
          <a:spLocks noChangeArrowheads="1"/>
        </xdr:cNvSpPr>
      </xdr:nvSpPr>
      <xdr:spPr>
        <a:xfrm>
          <a:off x="12744450" y="548024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67</xdr:row>
      <xdr:rowOff>0</xdr:rowOff>
    </xdr:from>
    <xdr:to>
      <xdr:col>43</xdr:col>
      <xdr:colOff>504825</xdr:colOff>
      <xdr:row>67</xdr:row>
      <xdr:rowOff>9525</xdr:rowOff>
    </xdr:to>
    <xdr:sp>
      <xdr:nvSpPr>
        <xdr:cNvPr id="50828" name="Text Box 244"/>
        <xdr:cNvSpPr txBox="1">
          <a:spLocks noChangeArrowheads="1"/>
        </xdr:cNvSpPr>
      </xdr:nvSpPr>
      <xdr:spPr>
        <a:xfrm>
          <a:off x="12744450" y="548024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67</xdr:row>
      <xdr:rowOff>0</xdr:rowOff>
    </xdr:from>
    <xdr:to>
      <xdr:col>43</xdr:col>
      <xdr:colOff>504825</xdr:colOff>
      <xdr:row>67</xdr:row>
      <xdr:rowOff>9525</xdr:rowOff>
    </xdr:to>
    <xdr:sp>
      <xdr:nvSpPr>
        <xdr:cNvPr id="50829" name="Text Box 245"/>
        <xdr:cNvSpPr txBox="1">
          <a:spLocks noChangeArrowheads="1"/>
        </xdr:cNvSpPr>
      </xdr:nvSpPr>
      <xdr:spPr>
        <a:xfrm>
          <a:off x="12744450" y="548024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67</xdr:row>
      <xdr:rowOff>0</xdr:rowOff>
    </xdr:from>
    <xdr:to>
      <xdr:col>43</xdr:col>
      <xdr:colOff>504825</xdr:colOff>
      <xdr:row>67</xdr:row>
      <xdr:rowOff>9525</xdr:rowOff>
    </xdr:to>
    <xdr:sp>
      <xdr:nvSpPr>
        <xdr:cNvPr id="50830" name="Text Box 246"/>
        <xdr:cNvSpPr txBox="1">
          <a:spLocks noChangeArrowheads="1"/>
        </xdr:cNvSpPr>
      </xdr:nvSpPr>
      <xdr:spPr>
        <a:xfrm>
          <a:off x="12744450" y="5480240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31" name="Text Box 241"/>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32" name="Text Box 242"/>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33" name="Text Box 243"/>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34" name="Text Box 244"/>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35" name="Text Box 245"/>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36" name="Text Box 246"/>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37"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38"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39"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40"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41"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42"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43" name="Text Box 241"/>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44" name="Text Box 242"/>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45" name="Text Box 243"/>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46" name="Text Box 244"/>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47" name="Text Box 245"/>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48" name="Text Box 246"/>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49"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50"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51"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52"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53"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54"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55" name="Text Box 241"/>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56" name="Text Box 242"/>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57" name="Text Box 243"/>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58" name="Text Box 244"/>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59" name="Text Box 245"/>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60" name="Text Box 246"/>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61"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62"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63"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64"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65"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66"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867" name="Text Box 241"/>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868" name="Text Box 242"/>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869" name="Text Box 243"/>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870" name="Text Box 244"/>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871" name="Text Box 245"/>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17</xdr:row>
      <xdr:rowOff>0</xdr:rowOff>
    </xdr:from>
    <xdr:to>
      <xdr:col>43</xdr:col>
      <xdr:colOff>504825</xdr:colOff>
      <xdr:row>17</xdr:row>
      <xdr:rowOff>9525</xdr:rowOff>
    </xdr:to>
    <xdr:sp>
      <xdr:nvSpPr>
        <xdr:cNvPr id="50872" name="Text Box 246"/>
        <xdr:cNvSpPr txBox="1">
          <a:spLocks noChangeArrowheads="1"/>
        </xdr:cNvSpPr>
      </xdr:nvSpPr>
      <xdr:spPr>
        <a:xfrm>
          <a:off x="12744450" y="143065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73"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74"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75"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76"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77"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78"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79" name="Text Box 241"/>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80" name="Text Box 242"/>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81" name="Text Box 243"/>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82" name="Text Box 244"/>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83" name="Text Box 245"/>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16</xdr:row>
      <xdr:rowOff>0</xdr:rowOff>
    </xdr:from>
    <xdr:to>
      <xdr:col>43</xdr:col>
      <xdr:colOff>504825</xdr:colOff>
      <xdr:row>16</xdr:row>
      <xdr:rowOff>9525</xdr:rowOff>
    </xdr:to>
    <xdr:sp>
      <xdr:nvSpPr>
        <xdr:cNvPr id="50884" name="Text Box 246"/>
        <xdr:cNvSpPr txBox="1">
          <a:spLocks noChangeArrowheads="1"/>
        </xdr:cNvSpPr>
      </xdr:nvSpPr>
      <xdr:spPr>
        <a:xfrm>
          <a:off x="12744450" y="1312545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85"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86"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87"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88"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89"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90"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15</xdr:row>
      <xdr:rowOff>0</xdr:rowOff>
    </xdr:from>
    <xdr:to>
      <xdr:col>43</xdr:col>
      <xdr:colOff>504825</xdr:colOff>
      <xdr:row>15</xdr:row>
      <xdr:rowOff>9525</xdr:rowOff>
    </xdr:to>
    <xdr:sp>
      <xdr:nvSpPr>
        <xdr:cNvPr id="50891" name="Text Box 241"/>
        <xdr:cNvSpPr txBox="1">
          <a:spLocks noChangeArrowheads="1"/>
        </xdr:cNvSpPr>
      </xdr:nvSpPr>
      <xdr:spPr>
        <a:xfrm>
          <a:off x="12744450" y="121824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15</xdr:row>
      <xdr:rowOff>0</xdr:rowOff>
    </xdr:from>
    <xdr:to>
      <xdr:col>43</xdr:col>
      <xdr:colOff>504825</xdr:colOff>
      <xdr:row>15</xdr:row>
      <xdr:rowOff>9525</xdr:rowOff>
    </xdr:to>
    <xdr:sp>
      <xdr:nvSpPr>
        <xdr:cNvPr id="50892" name="Text Box 242"/>
        <xdr:cNvSpPr txBox="1">
          <a:spLocks noChangeArrowheads="1"/>
        </xdr:cNvSpPr>
      </xdr:nvSpPr>
      <xdr:spPr>
        <a:xfrm>
          <a:off x="12744450" y="121824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15</xdr:row>
      <xdr:rowOff>0</xdr:rowOff>
    </xdr:from>
    <xdr:to>
      <xdr:col>43</xdr:col>
      <xdr:colOff>504825</xdr:colOff>
      <xdr:row>15</xdr:row>
      <xdr:rowOff>9525</xdr:rowOff>
    </xdr:to>
    <xdr:sp>
      <xdr:nvSpPr>
        <xdr:cNvPr id="50893" name="Text Box 243"/>
        <xdr:cNvSpPr txBox="1">
          <a:spLocks noChangeArrowheads="1"/>
        </xdr:cNvSpPr>
      </xdr:nvSpPr>
      <xdr:spPr>
        <a:xfrm>
          <a:off x="12744450" y="121824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15</xdr:row>
      <xdr:rowOff>0</xdr:rowOff>
    </xdr:from>
    <xdr:to>
      <xdr:col>43</xdr:col>
      <xdr:colOff>504825</xdr:colOff>
      <xdr:row>15</xdr:row>
      <xdr:rowOff>9525</xdr:rowOff>
    </xdr:to>
    <xdr:sp>
      <xdr:nvSpPr>
        <xdr:cNvPr id="50894" name="Text Box 244"/>
        <xdr:cNvSpPr txBox="1">
          <a:spLocks noChangeArrowheads="1"/>
        </xdr:cNvSpPr>
      </xdr:nvSpPr>
      <xdr:spPr>
        <a:xfrm>
          <a:off x="12744450" y="121824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15</xdr:row>
      <xdr:rowOff>0</xdr:rowOff>
    </xdr:from>
    <xdr:to>
      <xdr:col>43</xdr:col>
      <xdr:colOff>504825</xdr:colOff>
      <xdr:row>15</xdr:row>
      <xdr:rowOff>9525</xdr:rowOff>
    </xdr:to>
    <xdr:sp>
      <xdr:nvSpPr>
        <xdr:cNvPr id="50895" name="Text Box 245"/>
        <xdr:cNvSpPr txBox="1">
          <a:spLocks noChangeArrowheads="1"/>
        </xdr:cNvSpPr>
      </xdr:nvSpPr>
      <xdr:spPr>
        <a:xfrm>
          <a:off x="12744450" y="121824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15</xdr:row>
      <xdr:rowOff>0</xdr:rowOff>
    </xdr:from>
    <xdr:to>
      <xdr:col>43</xdr:col>
      <xdr:colOff>504825</xdr:colOff>
      <xdr:row>15</xdr:row>
      <xdr:rowOff>9525</xdr:rowOff>
    </xdr:to>
    <xdr:sp>
      <xdr:nvSpPr>
        <xdr:cNvPr id="50896" name="Text Box 246"/>
        <xdr:cNvSpPr txBox="1">
          <a:spLocks noChangeArrowheads="1"/>
        </xdr:cNvSpPr>
      </xdr:nvSpPr>
      <xdr:spPr>
        <a:xfrm>
          <a:off x="12744450" y="121824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97" name="Text Box 241"/>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98" name="Text Box 242"/>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899" name="Text Box 243"/>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900" name="Text Box 244"/>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901" name="Text Box 245"/>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34</xdr:row>
      <xdr:rowOff>0</xdr:rowOff>
    </xdr:from>
    <xdr:to>
      <xdr:col>43</xdr:col>
      <xdr:colOff>504825</xdr:colOff>
      <xdr:row>34</xdr:row>
      <xdr:rowOff>9525</xdr:rowOff>
    </xdr:to>
    <xdr:sp>
      <xdr:nvSpPr>
        <xdr:cNvPr id="50902" name="Text Box 246"/>
        <xdr:cNvSpPr txBox="1">
          <a:spLocks noChangeArrowheads="1"/>
        </xdr:cNvSpPr>
      </xdr:nvSpPr>
      <xdr:spPr>
        <a:xfrm>
          <a:off x="12744450" y="294132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03" name="Text Box 241"/>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04" name="Text Box 242"/>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05" name="Text Box 243"/>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06" name="Text Box 244"/>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07" name="Text Box 245"/>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08" name="Text Box 246"/>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129</xdr:row>
      <xdr:rowOff>0</xdr:rowOff>
    </xdr:from>
    <xdr:to>
      <xdr:col>43</xdr:col>
      <xdr:colOff>504825</xdr:colOff>
      <xdr:row>129</xdr:row>
      <xdr:rowOff>9525</xdr:rowOff>
    </xdr:to>
    <xdr:sp>
      <xdr:nvSpPr>
        <xdr:cNvPr id="50909" name="Text Box 241"/>
        <xdr:cNvSpPr txBox="1">
          <a:spLocks noChangeArrowheads="1"/>
        </xdr:cNvSpPr>
      </xdr:nvSpPr>
      <xdr:spPr>
        <a:xfrm>
          <a:off x="12744450" y="104041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129</xdr:row>
      <xdr:rowOff>0</xdr:rowOff>
    </xdr:from>
    <xdr:to>
      <xdr:col>43</xdr:col>
      <xdr:colOff>504825</xdr:colOff>
      <xdr:row>129</xdr:row>
      <xdr:rowOff>9525</xdr:rowOff>
    </xdr:to>
    <xdr:sp>
      <xdr:nvSpPr>
        <xdr:cNvPr id="50910" name="Text Box 242"/>
        <xdr:cNvSpPr txBox="1">
          <a:spLocks noChangeArrowheads="1"/>
        </xdr:cNvSpPr>
      </xdr:nvSpPr>
      <xdr:spPr>
        <a:xfrm>
          <a:off x="12744450" y="104041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129</xdr:row>
      <xdr:rowOff>0</xdr:rowOff>
    </xdr:from>
    <xdr:to>
      <xdr:col>43</xdr:col>
      <xdr:colOff>504825</xdr:colOff>
      <xdr:row>129</xdr:row>
      <xdr:rowOff>9525</xdr:rowOff>
    </xdr:to>
    <xdr:sp>
      <xdr:nvSpPr>
        <xdr:cNvPr id="50911" name="Text Box 243"/>
        <xdr:cNvSpPr txBox="1">
          <a:spLocks noChangeArrowheads="1"/>
        </xdr:cNvSpPr>
      </xdr:nvSpPr>
      <xdr:spPr>
        <a:xfrm>
          <a:off x="12744450" y="104041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129</xdr:row>
      <xdr:rowOff>0</xdr:rowOff>
    </xdr:from>
    <xdr:to>
      <xdr:col>43</xdr:col>
      <xdr:colOff>504825</xdr:colOff>
      <xdr:row>129</xdr:row>
      <xdr:rowOff>9525</xdr:rowOff>
    </xdr:to>
    <xdr:sp>
      <xdr:nvSpPr>
        <xdr:cNvPr id="50912" name="Text Box 244"/>
        <xdr:cNvSpPr txBox="1">
          <a:spLocks noChangeArrowheads="1"/>
        </xdr:cNvSpPr>
      </xdr:nvSpPr>
      <xdr:spPr>
        <a:xfrm>
          <a:off x="12744450" y="104041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129</xdr:row>
      <xdr:rowOff>0</xdr:rowOff>
    </xdr:from>
    <xdr:to>
      <xdr:col>43</xdr:col>
      <xdr:colOff>504825</xdr:colOff>
      <xdr:row>129</xdr:row>
      <xdr:rowOff>9525</xdr:rowOff>
    </xdr:to>
    <xdr:sp>
      <xdr:nvSpPr>
        <xdr:cNvPr id="50913" name="Text Box 245"/>
        <xdr:cNvSpPr txBox="1">
          <a:spLocks noChangeArrowheads="1"/>
        </xdr:cNvSpPr>
      </xdr:nvSpPr>
      <xdr:spPr>
        <a:xfrm>
          <a:off x="12744450" y="104041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129</xdr:row>
      <xdr:rowOff>0</xdr:rowOff>
    </xdr:from>
    <xdr:to>
      <xdr:col>43</xdr:col>
      <xdr:colOff>504825</xdr:colOff>
      <xdr:row>129</xdr:row>
      <xdr:rowOff>9525</xdr:rowOff>
    </xdr:to>
    <xdr:sp>
      <xdr:nvSpPr>
        <xdr:cNvPr id="50914" name="Text Box 246"/>
        <xdr:cNvSpPr txBox="1">
          <a:spLocks noChangeArrowheads="1"/>
        </xdr:cNvSpPr>
      </xdr:nvSpPr>
      <xdr:spPr>
        <a:xfrm>
          <a:off x="12744450" y="104041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15" name="Text Box 241"/>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16" name="Text Box 242"/>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17" name="Text Box 243"/>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18" name="Text Box 244"/>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19" name="Text Box 245"/>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20" name="Text Box 246"/>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111</xdr:row>
      <xdr:rowOff>0</xdr:rowOff>
    </xdr:from>
    <xdr:to>
      <xdr:col>43</xdr:col>
      <xdr:colOff>504825</xdr:colOff>
      <xdr:row>111</xdr:row>
      <xdr:rowOff>9525</xdr:rowOff>
    </xdr:to>
    <xdr:sp>
      <xdr:nvSpPr>
        <xdr:cNvPr id="50921" name="Text Box 241"/>
        <xdr:cNvSpPr txBox="1">
          <a:spLocks noChangeArrowheads="1"/>
        </xdr:cNvSpPr>
      </xdr:nvSpPr>
      <xdr:spPr>
        <a:xfrm>
          <a:off x="12744450" y="910463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111</xdr:row>
      <xdr:rowOff>0</xdr:rowOff>
    </xdr:from>
    <xdr:to>
      <xdr:col>43</xdr:col>
      <xdr:colOff>504825</xdr:colOff>
      <xdr:row>111</xdr:row>
      <xdr:rowOff>9525</xdr:rowOff>
    </xdr:to>
    <xdr:sp>
      <xdr:nvSpPr>
        <xdr:cNvPr id="50922" name="Text Box 242"/>
        <xdr:cNvSpPr txBox="1">
          <a:spLocks noChangeArrowheads="1"/>
        </xdr:cNvSpPr>
      </xdr:nvSpPr>
      <xdr:spPr>
        <a:xfrm>
          <a:off x="12744450" y="910463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111</xdr:row>
      <xdr:rowOff>0</xdr:rowOff>
    </xdr:from>
    <xdr:to>
      <xdr:col>43</xdr:col>
      <xdr:colOff>504825</xdr:colOff>
      <xdr:row>111</xdr:row>
      <xdr:rowOff>9525</xdr:rowOff>
    </xdr:to>
    <xdr:sp>
      <xdr:nvSpPr>
        <xdr:cNvPr id="50923" name="Text Box 243"/>
        <xdr:cNvSpPr txBox="1">
          <a:spLocks noChangeArrowheads="1"/>
        </xdr:cNvSpPr>
      </xdr:nvSpPr>
      <xdr:spPr>
        <a:xfrm>
          <a:off x="12744450" y="910463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111</xdr:row>
      <xdr:rowOff>0</xdr:rowOff>
    </xdr:from>
    <xdr:to>
      <xdr:col>43</xdr:col>
      <xdr:colOff>504825</xdr:colOff>
      <xdr:row>111</xdr:row>
      <xdr:rowOff>9525</xdr:rowOff>
    </xdr:to>
    <xdr:sp>
      <xdr:nvSpPr>
        <xdr:cNvPr id="50924" name="Text Box 244"/>
        <xdr:cNvSpPr txBox="1">
          <a:spLocks noChangeArrowheads="1"/>
        </xdr:cNvSpPr>
      </xdr:nvSpPr>
      <xdr:spPr>
        <a:xfrm>
          <a:off x="12744450" y="910463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111</xdr:row>
      <xdr:rowOff>0</xdr:rowOff>
    </xdr:from>
    <xdr:to>
      <xdr:col>43</xdr:col>
      <xdr:colOff>504825</xdr:colOff>
      <xdr:row>111</xdr:row>
      <xdr:rowOff>9525</xdr:rowOff>
    </xdr:to>
    <xdr:sp>
      <xdr:nvSpPr>
        <xdr:cNvPr id="50925" name="Text Box 245"/>
        <xdr:cNvSpPr txBox="1">
          <a:spLocks noChangeArrowheads="1"/>
        </xdr:cNvSpPr>
      </xdr:nvSpPr>
      <xdr:spPr>
        <a:xfrm>
          <a:off x="12744450" y="910463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111</xdr:row>
      <xdr:rowOff>0</xdr:rowOff>
    </xdr:from>
    <xdr:to>
      <xdr:col>43</xdr:col>
      <xdr:colOff>504825</xdr:colOff>
      <xdr:row>111</xdr:row>
      <xdr:rowOff>9525</xdr:rowOff>
    </xdr:to>
    <xdr:sp>
      <xdr:nvSpPr>
        <xdr:cNvPr id="50926" name="Text Box 246"/>
        <xdr:cNvSpPr txBox="1">
          <a:spLocks noChangeArrowheads="1"/>
        </xdr:cNvSpPr>
      </xdr:nvSpPr>
      <xdr:spPr>
        <a:xfrm>
          <a:off x="12744450" y="9104630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27" name="Text Box 241"/>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28" name="Text Box 242"/>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29" name="Text Box 243"/>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30" name="Text Box 244"/>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31" name="Text Box 245"/>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128</xdr:row>
      <xdr:rowOff>0</xdr:rowOff>
    </xdr:from>
    <xdr:to>
      <xdr:col>43</xdr:col>
      <xdr:colOff>504825</xdr:colOff>
      <xdr:row>128</xdr:row>
      <xdr:rowOff>9525</xdr:rowOff>
    </xdr:to>
    <xdr:sp>
      <xdr:nvSpPr>
        <xdr:cNvPr id="50932" name="Text Box 246"/>
        <xdr:cNvSpPr txBox="1">
          <a:spLocks noChangeArrowheads="1"/>
        </xdr:cNvSpPr>
      </xdr:nvSpPr>
      <xdr:spPr>
        <a:xfrm>
          <a:off x="12744450" y="1036605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33" name="Text Box 241"/>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34" name="Text Box 242"/>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35" name="Text Box 243"/>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36" name="Text Box 244"/>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37" name="Text Box 245"/>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115</xdr:row>
      <xdr:rowOff>0</xdr:rowOff>
    </xdr:from>
    <xdr:to>
      <xdr:col>43</xdr:col>
      <xdr:colOff>504825</xdr:colOff>
      <xdr:row>115</xdr:row>
      <xdr:rowOff>9525</xdr:rowOff>
    </xdr:to>
    <xdr:sp>
      <xdr:nvSpPr>
        <xdr:cNvPr id="50938" name="Text Box 246"/>
        <xdr:cNvSpPr txBox="1">
          <a:spLocks noChangeArrowheads="1"/>
        </xdr:cNvSpPr>
      </xdr:nvSpPr>
      <xdr:spPr>
        <a:xfrm>
          <a:off x="12744450" y="942517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939" name="Text Box 241"/>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940" name="Text Box 242"/>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941" name="Text Box 243"/>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942" name="Text Box 244"/>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943" name="Text Box 245"/>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114</xdr:row>
      <xdr:rowOff>0</xdr:rowOff>
    </xdr:from>
    <xdr:to>
      <xdr:col>43</xdr:col>
      <xdr:colOff>504825</xdr:colOff>
      <xdr:row>114</xdr:row>
      <xdr:rowOff>9525</xdr:rowOff>
    </xdr:to>
    <xdr:sp>
      <xdr:nvSpPr>
        <xdr:cNvPr id="50944" name="Text Box 246"/>
        <xdr:cNvSpPr txBox="1">
          <a:spLocks noChangeArrowheads="1"/>
        </xdr:cNvSpPr>
      </xdr:nvSpPr>
      <xdr:spPr>
        <a:xfrm>
          <a:off x="12744450" y="93337380"/>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16</xdr:row>
      <xdr:rowOff>0</xdr:rowOff>
    </xdr:from>
    <xdr:to>
      <xdr:col>43</xdr:col>
      <xdr:colOff>514350</xdr:colOff>
      <xdr:row>16</xdr:row>
      <xdr:rowOff>9525</xdr:rowOff>
    </xdr:to>
    <xdr:sp>
      <xdr:nvSpPr>
        <xdr:cNvPr id="50945" name="Text Box 241"/>
        <xdr:cNvSpPr txBox="1">
          <a:spLocks noChangeArrowheads="1"/>
        </xdr:cNvSpPr>
      </xdr:nvSpPr>
      <xdr:spPr>
        <a:xfrm>
          <a:off x="12744450" y="13125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16</xdr:row>
      <xdr:rowOff>0</xdr:rowOff>
    </xdr:from>
    <xdr:to>
      <xdr:col>43</xdr:col>
      <xdr:colOff>514350</xdr:colOff>
      <xdr:row>16</xdr:row>
      <xdr:rowOff>9525</xdr:rowOff>
    </xdr:to>
    <xdr:sp>
      <xdr:nvSpPr>
        <xdr:cNvPr id="50946" name="Text Box 242"/>
        <xdr:cNvSpPr txBox="1">
          <a:spLocks noChangeArrowheads="1"/>
        </xdr:cNvSpPr>
      </xdr:nvSpPr>
      <xdr:spPr>
        <a:xfrm>
          <a:off x="12744450" y="13125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16</xdr:row>
      <xdr:rowOff>0</xdr:rowOff>
    </xdr:from>
    <xdr:to>
      <xdr:col>43</xdr:col>
      <xdr:colOff>514350</xdr:colOff>
      <xdr:row>16</xdr:row>
      <xdr:rowOff>9525</xdr:rowOff>
    </xdr:to>
    <xdr:sp>
      <xdr:nvSpPr>
        <xdr:cNvPr id="50947" name="Text Box 243"/>
        <xdr:cNvSpPr txBox="1">
          <a:spLocks noChangeArrowheads="1"/>
        </xdr:cNvSpPr>
      </xdr:nvSpPr>
      <xdr:spPr>
        <a:xfrm>
          <a:off x="12744450" y="13125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16</xdr:row>
      <xdr:rowOff>0</xdr:rowOff>
    </xdr:from>
    <xdr:to>
      <xdr:col>43</xdr:col>
      <xdr:colOff>514350</xdr:colOff>
      <xdr:row>16</xdr:row>
      <xdr:rowOff>9525</xdr:rowOff>
    </xdr:to>
    <xdr:sp>
      <xdr:nvSpPr>
        <xdr:cNvPr id="50948" name="Text Box 244"/>
        <xdr:cNvSpPr txBox="1">
          <a:spLocks noChangeArrowheads="1"/>
        </xdr:cNvSpPr>
      </xdr:nvSpPr>
      <xdr:spPr>
        <a:xfrm>
          <a:off x="12744450" y="13125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16</xdr:row>
      <xdr:rowOff>0</xdr:rowOff>
    </xdr:from>
    <xdr:to>
      <xdr:col>43</xdr:col>
      <xdr:colOff>514350</xdr:colOff>
      <xdr:row>16</xdr:row>
      <xdr:rowOff>9525</xdr:rowOff>
    </xdr:to>
    <xdr:sp>
      <xdr:nvSpPr>
        <xdr:cNvPr id="50949" name="Text Box 245"/>
        <xdr:cNvSpPr txBox="1">
          <a:spLocks noChangeArrowheads="1"/>
        </xdr:cNvSpPr>
      </xdr:nvSpPr>
      <xdr:spPr>
        <a:xfrm>
          <a:off x="12744450" y="13125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16</xdr:row>
      <xdr:rowOff>0</xdr:rowOff>
    </xdr:from>
    <xdr:to>
      <xdr:col>43</xdr:col>
      <xdr:colOff>514350</xdr:colOff>
      <xdr:row>16</xdr:row>
      <xdr:rowOff>9525</xdr:rowOff>
    </xdr:to>
    <xdr:sp>
      <xdr:nvSpPr>
        <xdr:cNvPr id="50950" name="Text Box 246"/>
        <xdr:cNvSpPr txBox="1">
          <a:spLocks noChangeArrowheads="1"/>
        </xdr:cNvSpPr>
      </xdr:nvSpPr>
      <xdr:spPr>
        <a:xfrm>
          <a:off x="12744450" y="13125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1" name="Text Box 241"/>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2" name="Text Box 242"/>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3" name="Text Box 243"/>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4" name="Text Box 244"/>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5" name="Text Box 245"/>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6" name="Text Box 246"/>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7" name="Text Box 241"/>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8" name="Text Box 242"/>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59" name="Text Box 243"/>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0" name="Text Box 244"/>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1" name="Text Box 245"/>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2" name="Text Box 246"/>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3" name="Text Box 241"/>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4" name="Text Box 242"/>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5" name="Text Box 243"/>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6" name="Text Box 244"/>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7" name="Text Box 245"/>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8" name="Text Box 246"/>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69" name="Text Box 241"/>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70" name="Text Box 242"/>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71" name="Text Box 243"/>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72" name="Text Box 244"/>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73" name="Text Box 245"/>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xdr:row>
      <xdr:rowOff>0</xdr:rowOff>
    </xdr:from>
    <xdr:to>
      <xdr:col>43</xdr:col>
      <xdr:colOff>514350</xdr:colOff>
      <xdr:row>17</xdr:row>
      <xdr:rowOff>9525</xdr:rowOff>
    </xdr:to>
    <xdr:sp>
      <xdr:nvSpPr>
        <xdr:cNvPr id="50974" name="Text Box 246"/>
        <xdr:cNvSpPr txBox="1">
          <a:spLocks noChangeArrowheads="1"/>
        </xdr:cNvSpPr>
      </xdr:nvSpPr>
      <xdr:spPr>
        <a:xfrm>
          <a:off x="12744450" y="143065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75" name="Text Box 241"/>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76" name="Text Box 242"/>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77" name="Text Box 243"/>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78" name="Text Box 244"/>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79" name="Text Box 245"/>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80" name="Text Box 246"/>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81" name="Text Box 241"/>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82" name="Text Box 242"/>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83" name="Text Box 243"/>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84" name="Text Box 244"/>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85" name="Text Box 245"/>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0986" name="Text Box 246"/>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87" name="Text Box 241"/>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88" name="Text Box 242"/>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89" name="Text Box 243"/>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0" name="Text Box 244"/>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1" name="Text Box 245"/>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2" name="Text Box 246"/>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3" name="Text Box 241"/>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4" name="Text Box 242"/>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5" name="Text Box 243"/>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6" name="Text Box 244"/>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7" name="Text Box 245"/>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8" name="Text Box 246"/>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0999" name="Text Box 241"/>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0" name="Text Box 242"/>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1" name="Text Box 243"/>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2" name="Text Box 244"/>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3" name="Text Box 245"/>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4" name="Text Box 246"/>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5" name="Text Box 241"/>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6" name="Text Box 242"/>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7" name="Text Box 243"/>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8" name="Text Box 244"/>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09" name="Text Box 245"/>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63</xdr:row>
      <xdr:rowOff>0</xdr:rowOff>
    </xdr:from>
    <xdr:to>
      <xdr:col>43</xdr:col>
      <xdr:colOff>514350</xdr:colOff>
      <xdr:row>63</xdr:row>
      <xdr:rowOff>9525</xdr:rowOff>
    </xdr:to>
    <xdr:sp>
      <xdr:nvSpPr>
        <xdr:cNvPr id="51010" name="Text Box 246"/>
        <xdr:cNvSpPr txBox="1">
          <a:spLocks noChangeArrowheads="1"/>
        </xdr:cNvSpPr>
      </xdr:nvSpPr>
      <xdr:spPr>
        <a:xfrm>
          <a:off x="12744450" y="515829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11" name="Text Box 241"/>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12" name="Text Box 242"/>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13" name="Text Box 243"/>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14" name="Text Box 244"/>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15" name="Text Box 245"/>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16" name="Text Box 246"/>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67</xdr:row>
      <xdr:rowOff>0</xdr:rowOff>
    </xdr:from>
    <xdr:to>
      <xdr:col>43</xdr:col>
      <xdr:colOff>514350</xdr:colOff>
      <xdr:row>67</xdr:row>
      <xdr:rowOff>9525</xdr:rowOff>
    </xdr:to>
    <xdr:sp>
      <xdr:nvSpPr>
        <xdr:cNvPr id="51017" name="Text Box 241"/>
        <xdr:cNvSpPr txBox="1">
          <a:spLocks noChangeArrowheads="1"/>
        </xdr:cNvSpPr>
      </xdr:nvSpPr>
      <xdr:spPr>
        <a:xfrm>
          <a:off x="12744450" y="5480240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67</xdr:row>
      <xdr:rowOff>0</xdr:rowOff>
    </xdr:from>
    <xdr:to>
      <xdr:col>43</xdr:col>
      <xdr:colOff>514350</xdr:colOff>
      <xdr:row>67</xdr:row>
      <xdr:rowOff>9525</xdr:rowOff>
    </xdr:to>
    <xdr:sp>
      <xdr:nvSpPr>
        <xdr:cNvPr id="51018" name="Text Box 242"/>
        <xdr:cNvSpPr txBox="1">
          <a:spLocks noChangeArrowheads="1"/>
        </xdr:cNvSpPr>
      </xdr:nvSpPr>
      <xdr:spPr>
        <a:xfrm>
          <a:off x="12744450" y="5480240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67</xdr:row>
      <xdr:rowOff>0</xdr:rowOff>
    </xdr:from>
    <xdr:to>
      <xdr:col>43</xdr:col>
      <xdr:colOff>514350</xdr:colOff>
      <xdr:row>67</xdr:row>
      <xdr:rowOff>9525</xdr:rowOff>
    </xdr:to>
    <xdr:sp>
      <xdr:nvSpPr>
        <xdr:cNvPr id="51019" name="Text Box 243"/>
        <xdr:cNvSpPr txBox="1">
          <a:spLocks noChangeArrowheads="1"/>
        </xdr:cNvSpPr>
      </xdr:nvSpPr>
      <xdr:spPr>
        <a:xfrm>
          <a:off x="12744450" y="5480240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67</xdr:row>
      <xdr:rowOff>0</xdr:rowOff>
    </xdr:from>
    <xdr:to>
      <xdr:col>43</xdr:col>
      <xdr:colOff>514350</xdr:colOff>
      <xdr:row>67</xdr:row>
      <xdr:rowOff>9525</xdr:rowOff>
    </xdr:to>
    <xdr:sp>
      <xdr:nvSpPr>
        <xdr:cNvPr id="51020" name="Text Box 244"/>
        <xdr:cNvSpPr txBox="1">
          <a:spLocks noChangeArrowheads="1"/>
        </xdr:cNvSpPr>
      </xdr:nvSpPr>
      <xdr:spPr>
        <a:xfrm>
          <a:off x="12744450" y="5480240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67</xdr:row>
      <xdr:rowOff>0</xdr:rowOff>
    </xdr:from>
    <xdr:to>
      <xdr:col>43</xdr:col>
      <xdr:colOff>514350</xdr:colOff>
      <xdr:row>67</xdr:row>
      <xdr:rowOff>9525</xdr:rowOff>
    </xdr:to>
    <xdr:sp>
      <xdr:nvSpPr>
        <xdr:cNvPr id="51021" name="Text Box 245"/>
        <xdr:cNvSpPr txBox="1">
          <a:spLocks noChangeArrowheads="1"/>
        </xdr:cNvSpPr>
      </xdr:nvSpPr>
      <xdr:spPr>
        <a:xfrm>
          <a:off x="12744450" y="5480240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67</xdr:row>
      <xdr:rowOff>0</xdr:rowOff>
    </xdr:from>
    <xdr:to>
      <xdr:col>43</xdr:col>
      <xdr:colOff>514350</xdr:colOff>
      <xdr:row>67</xdr:row>
      <xdr:rowOff>9525</xdr:rowOff>
    </xdr:to>
    <xdr:sp>
      <xdr:nvSpPr>
        <xdr:cNvPr id="51022" name="Text Box 246"/>
        <xdr:cNvSpPr txBox="1">
          <a:spLocks noChangeArrowheads="1"/>
        </xdr:cNvSpPr>
      </xdr:nvSpPr>
      <xdr:spPr>
        <a:xfrm>
          <a:off x="12744450" y="5480240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23" name="Text Box 241"/>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24" name="Text Box 242"/>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25" name="Text Box 243"/>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26" name="Text Box 244"/>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27" name="Text Box 245"/>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28" name="Text Box 246"/>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29" name="Text Box 241"/>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0" name="Text Box 242"/>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1" name="Text Box 243"/>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2" name="Text Box 244"/>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3" name="Text Box 245"/>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4" name="Text Box 246"/>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5" name="Text Box 241"/>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6" name="Text Box 242"/>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7" name="Text Box 243"/>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8" name="Text Box 244"/>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39" name="Text Box 245"/>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36</xdr:row>
      <xdr:rowOff>0</xdr:rowOff>
    </xdr:from>
    <xdr:to>
      <xdr:col>43</xdr:col>
      <xdr:colOff>514350</xdr:colOff>
      <xdr:row>36</xdr:row>
      <xdr:rowOff>9525</xdr:rowOff>
    </xdr:to>
    <xdr:sp>
      <xdr:nvSpPr>
        <xdr:cNvPr id="51040" name="Text Box 246"/>
        <xdr:cNvSpPr txBox="1">
          <a:spLocks noChangeArrowheads="1"/>
        </xdr:cNvSpPr>
      </xdr:nvSpPr>
      <xdr:spPr>
        <a:xfrm>
          <a:off x="12744450" y="304038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41" name="Text Box 241"/>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42" name="Text Box 242"/>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43" name="Text Box 243"/>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44" name="Text Box 244"/>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45" name="Text Box 245"/>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35</xdr:row>
      <xdr:rowOff>0</xdr:rowOff>
    </xdr:from>
    <xdr:to>
      <xdr:col>43</xdr:col>
      <xdr:colOff>514350</xdr:colOff>
      <xdr:row>35</xdr:row>
      <xdr:rowOff>9525</xdr:rowOff>
    </xdr:to>
    <xdr:sp>
      <xdr:nvSpPr>
        <xdr:cNvPr id="51046" name="Text Box 246"/>
        <xdr:cNvSpPr txBox="1">
          <a:spLocks noChangeArrowheads="1"/>
        </xdr:cNvSpPr>
      </xdr:nvSpPr>
      <xdr:spPr>
        <a:xfrm>
          <a:off x="12744450" y="296322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47" name="Text Box 241"/>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48" name="Text Box 242"/>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49" name="Text Box 243"/>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50" name="Text Box 244"/>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51" name="Text Box 245"/>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52" name="Text Box 246"/>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05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05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05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05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05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05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59" name="Text Box 241"/>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60" name="Text Box 242"/>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61" name="Text Box 243"/>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62" name="Text Box 244"/>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63" name="Text Box 245"/>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64" name="Text Box 246"/>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110</xdr:row>
      <xdr:rowOff>0</xdr:rowOff>
    </xdr:from>
    <xdr:to>
      <xdr:col>43</xdr:col>
      <xdr:colOff>514350</xdr:colOff>
      <xdr:row>110</xdr:row>
      <xdr:rowOff>9525</xdr:rowOff>
    </xdr:to>
    <xdr:sp>
      <xdr:nvSpPr>
        <xdr:cNvPr id="51065" name="Text Box 241"/>
        <xdr:cNvSpPr txBox="1">
          <a:spLocks noChangeArrowheads="1"/>
        </xdr:cNvSpPr>
      </xdr:nvSpPr>
      <xdr:spPr>
        <a:xfrm>
          <a:off x="12744450" y="9006522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110</xdr:row>
      <xdr:rowOff>0</xdr:rowOff>
    </xdr:from>
    <xdr:to>
      <xdr:col>43</xdr:col>
      <xdr:colOff>514350</xdr:colOff>
      <xdr:row>110</xdr:row>
      <xdr:rowOff>9525</xdr:rowOff>
    </xdr:to>
    <xdr:sp>
      <xdr:nvSpPr>
        <xdr:cNvPr id="51066" name="Text Box 242"/>
        <xdr:cNvSpPr txBox="1">
          <a:spLocks noChangeArrowheads="1"/>
        </xdr:cNvSpPr>
      </xdr:nvSpPr>
      <xdr:spPr>
        <a:xfrm>
          <a:off x="12744450" y="9006522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110</xdr:row>
      <xdr:rowOff>0</xdr:rowOff>
    </xdr:from>
    <xdr:to>
      <xdr:col>43</xdr:col>
      <xdr:colOff>514350</xdr:colOff>
      <xdr:row>110</xdr:row>
      <xdr:rowOff>9525</xdr:rowOff>
    </xdr:to>
    <xdr:sp>
      <xdr:nvSpPr>
        <xdr:cNvPr id="51067" name="Text Box 243"/>
        <xdr:cNvSpPr txBox="1">
          <a:spLocks noChangeArrowheads="1"/>
        </xdr:cNvSpPr>
      </xdr:nvSpPr>
      <xdr:spPr>
        <a:xfrm>
          <a:off x="12744450" y="9006522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110</xdr:row>
      <xdr:rowOff>0</xdr:rowOff>
    </xdr:from>
    <xdr:to>
      <xdr:col>43</xdr:col>
      <xdr:colOff>514350</xdr:colOff>
      <xdr:row>110</xdr:row>
      <xdr:rowOff>9525</xdr:rowOff>
    </xdr:to>
    <xdr:sp>
      <xdr:nvSpPr>
        <xdr:cNvPr id="51068" name="Text Box 244"/>
        <xdr:cNvSpPr txBox="1">
          <a:spLocks noChangeArrowheads="1"/>
        </xdr:cNvSpPr>
      </xdr:nvSpPr>
      <xdr:spPr>
        <a:xfrm>
          <a:off x="12744450" y="9006522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110</xdr:row>
      <xdr:rowOff>0</xdr:rowOff>
    </xdr:from>
    <xdr:to>
      <xdr:col>43</xdr:col>
      <xdr:colOff>514350</xdr:colOff>
      <xdr:row>110</xdr:row>
      <xdr:rowOff>9525</xdr:rowOff>
    </xdr:to>
    <xdr:sp>
      <xdr:nvSpPr>
        <xdr:cNvPr id="51069" name="Text Box 245"/>
        <xdr:cNvSpPr txBox="1">
          <a:spLocks noChangeArrowheads="1"/>
        </xdr:cNvSpPr>
      </xdr:nvSpPr>
      <xdr:spPr>
        <a:xfrm>
          <a:off x="12744450" y="9006522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110</xdr:row>
      <xdr:rowOff>0</xdr:rowOff>
    </xdr:from>
    <xdr:to>
      <xdr:col>43</xdr:col>
      <xdr:colOff>514350</xdr:colOff>
      <xdr:row>110</xdr:row>
      <xdr:rowOff>9525</xdr:rowOff>
    </xdr:to>
    <xdr:sp>
      <xdr:nvSpPr>
        <xdr:cNvPr id="51070" name="Text Box 246"/>
        <xdr:cNvSpPr txBox="1">
          <a:spLocks noChangeArrowheads="1"/>
        </xdr:cNvSpPr>
      </xdr:nvSpPr>
      <xdr:spPr>
        <a:xfrm>
          <a:off x="12744450" y="9006522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71" name="Text Box 241"/>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72" name="Text Box 242"/>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73" name="Text Box 243"/>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74" name="Text Box 244"/>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75" name="Text Box 245"/>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124</xdr:row>
      <xdr:rowOff>0</xdr:rowOff>
    </xdr:from>
    <xdr:to>
      <xdr:col>43</xdr:col>
      <xdr:colOff>514350</xdr:colOff>
      <xdr:row>124</xdr:row>
      <xdr:rowOff>9525</xdr:rowOff>
    </xdr:to>
    <xdr:sp>
      <xdr:nvSpPr>
        <xdr:cNvPr id="51076" name="Text Box 246"/>
        <xdr:cNvSpPr txBox="1">
          <a:spLocks noChangeArrowheads="1"/>
        </xdr:cNvSpPr>
      </xdr:nvSpPr>
      <xdr:spPr>
        <a:xfrm>
          <a:off x="12744450" y="10073640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77" name="Text Box 241"/>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78" name="Text Box 242"/>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79" name="Text Box 243"/>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80" name="Text Box 244"/>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81" name="Text Box 245"/>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114</xdr:row>
      <xdr:rowOff>0</xdr:rowOff>
    </xdr:from>
    <xdr:to>
      <xdr:col>43</xdr:col>
      <xdr:colOff>514350</xdr:colOff>
      <xdr:row>114</xdr:row>
      <xdr:rowOff>9525</xdr:rowOff>
    </xdr:to>
    <xdr:sp>
      <xdr:nvSpPr>
        <xdr:cNvPr id="51082" name="Text Box 246"/>
        <xdr:cNvSpPr txBox="1">
          <a:spLocks noChangeArrowheads="1"/>
        </xdr:cNvSpPr>
      </xdr:nvSpPr>
      <xdr:spPr>
        <a:xfrm>
          <a:off x="12744450" y="9333738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113</xdr:row>
      <xdr:rowOff>0</xdr:rowOff>
    </xdr:from>
    <xdr:to>
      <xdr:col>43</xdr:col>
      <xdr:colOff>514350</xdr:colOff>
      <xdr:row>113</xdr:row>
      <xdr:rowOff>9525</xdr:rowOff>
    </xdr:to>
    <xdr:sp>
      <xdr:nvSpPr>
        <xdr:cNvPr id="51083" name="Text Box 241"/>
        <xdr:cNvSpPr txBox="1">
          <a:spLocks noChangeArrowheads="1"/>
        </xdr:cNvSpPr>
      </xdr:nvSpPr>
      <xdr:spPr>
        <a:xfrm>
          <a:off x="12744450" y="93008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113</xdr:row>
      <xdr:rowOff>0</xdr:rowOff>
    </xdr:from>
    <xdr:to>
      <xdr:col>43</xdr:col>
      <xdr:colOff>514350</xdr:colOff>
      <xdr:row>113</xdr:row>
      <xdr:rowOff>9525</xdr:rowOff>
    </xdr:to>
    <xdr:sp>
      <xdr:nvSpPr>
        <xdr:cNvPr id="51084" name="Text Box 242"/>
        <xdr:cNvSpPr txBox="1">
          <a:spLocks noChangeArrowheads="1"/>
        </xdr:cNvSpPr>
      </xdr:nvSpPr>
      <xdr:spPr>
        <a:xfrm>
          <a:off x="12744450" y="93008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113</xdr:row>
      <xdr:rowOff>0</xdr:rowOff>
    </xdr:from>
    <xdr:to>
      <xdr:col>43</xdr:col>
      <xdr:colOff>514350</xdr:colOff>
      <xdr:row>113</xdr:row>
      <xdr:rowOff>9525</xdr:rowOff>
    </xdr:to>
    <xdr:sp>
      <xdr:nvSpPr>
        <xdr:cNvPr id="51085" name="Text Box 243"/>
        <xdr:cNvSpPr txBox="1">
          <a:spLocks noChangeArrowheads="1"/>
        </xdr:cNvSpPr>
      </xdr:nvSpPr>
      <xdr:spPr>
        <a:xfrm>
          <a:off x="12744450" y="93008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113</xdr:row>
      <xdr:rowOff>0</xdr:rowOff>
    </xdr:from>
    <xdr:to>
      <xdr:col>43</xdr:col>
      <xdr:colOff>514350</xdr:colOff>
      <xdr:row>113</xdr:row>
      <xdr:rowOff>9525</xdr:rowOff>
    </xdr:to>
    <xdr:sp>
      <xdr:nvSpPr>
        <xdr:cNvPr id="51086" name="Text Box 244"/>
        <xdr:cNvSpPr txBox="1">
          <a:spLocks noChangeArrowheads="1"/>
        </xdr:cNvSpPr>
      </xdr:nvSpPr>
      <xdr:spPr>
        <a:xfrm>
          <a:off x="12744450" y="93008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113</xdr:row>
      <xdr:rowOff>0</xdr:rowOff>
    </xdr:from>
    <xdr:to>
      <xdr:col>43</xdr:col>
      <xdr:colOff>514350</xdr:colOff>
      <xdr:row>113</xdr:row>
      <xdr:rowOff>9525</xdr:rowOff>
    </xdr:to>
    <xdr:sp>
      <xdr:nvSpPr>
        <xdr:cNvPr id="51087" name="Text Box 245"/>
        <xdr:cNvSpPr txBox="1">
          <a:spLocks noChangeArrowheads="1"/>
        </xdr:cNvSpPr>
      </xdr:nvSpPr>
      <xdr:spPr>
        <a:xfrm>
          <a:off x="12744450" y="93008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113</xdr:row>
      <xdr:rowOff>0</xdr:rowOff>
    </xdr:from>
    <xdr:to>
      <xdr:col>43</xdr:col>
      <xdr:colOff>514350</xdr:colOff>
      <xdr:row>113</xdr:row>
      <xdr:rowOff>9525</xdr:rowOff>
    </xdr:to>
    <xdr:sp>
      <xdr:nvSpPr>
        <xdr:cNvPr id="51088" name="Text Box 246"/>
        <xdr:cNvSpPr txBox="1">
          <a:spLocks noChangeArrowheads="1"/>
        </xdr:cNvSpPr>
      </xdr:nvSpPr>
      <xdr:spPr>
        <a:xfrm>
          <a:off x="12744450" y="930084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89" name="Text Box 241"/>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0" name="Text Box 242"/>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1" name="Text Box 243"/>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2" name="Text Box 244"/>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3" name="Text Box 245"/>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4" name="Text Box 246"/>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5" name="Text Box 241"/>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6" name="Text Box 242"/>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7" name="Text Box 243"/>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8" name="Text Box 244"/>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099" name="Text Box 245"/>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0" name="Text Box 246"/>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1" name="Text Box 241"/>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2" name="Text Box 242"/>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3" name="Text Box 243"/>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4" name="Text Box 244"/>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5" name="Text Box 245"/>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6" name="Text Box 246"/>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7" name="Text Box 241"/>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8" name="Text Box 242"/>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09" name="Text Box 243"/>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0" name="Text Box 244"/>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1" name="Text Box 245"/>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2" name="Text Box 246"/>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3" name="Text Box 241"/>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4" name="Text Box 242"/>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5" name="Text Box 243"/>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6" name="Text Box 244"/>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7" name="Text Box 245"/>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8" name="Text Box 246"/>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19" name="Text Box 241"/>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20" name="Text Box 242"/>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21" name="Text Box 243"/>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22" name="Text Box 244"/>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23" name="Text Box 245"/>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24</xdr:row>
      <xdr:rowOff>0</xdr:rowOff>
    </xdr:from>
    <xdr:to>
      <xdr:col>43</xdr:col>
      <xdr:colOff>514350</xdr:colOff>
      <xdr:row>24</xdr:row>
      <xdr:rowOff>9525</xdr:rowOff>
    </xdr:to>
    <xdr:sp>
      <xdr:nvSpPr>
        <xdr:cNvPr id="51124" name="Text Box 246"/>
        <xdr:cNvSpPr txBox="1">
          <a:spLocks noChangeArrowheads="1"/>
        </xdr:cNvSpPr>
      </xdr:nvSpPr>
      <xdr:spPr>
        <a:xfrm>
          <a:off x="12744450" y="199453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2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2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2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2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2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3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4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5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6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7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8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19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0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1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2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3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4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5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6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7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8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29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0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1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2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3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4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5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6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7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8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39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7"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8"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09"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0"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1"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2"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3"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4"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5"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6"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7"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8"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19"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0"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1"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2"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3"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4"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5"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6"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7"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8"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29"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30"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31" name="Text Box 241"/>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32" name="Text Box 242"/>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33" name="Text Box 243"/>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34" name="Text Box 244"/>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35" name="Text Box 245"/>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128</xdr:row>
      <xdr:rowOff>0</xdr:rowOff>
    </xdr:from>
    <xdr:to>
      <xdr:col>43</xdr:col>
      <xdr:colOff>514350</xdr:colOff>
      <xdr:row>128</xdr:row>
      <xdr:rowOff>9525</xdr:rowOff>
    </xdr:to>
    <xdr:sp>
      <xdr:nvSpPr>
        <xdr:cNvPr id="51436" name="Text Box 246"/>
        <xdr:cNvSpPr txBox="1">
          <a:spLocks noChangeArrowheads="1"/>
        </xdr:cNvSpPr>
      </xdr:nvSpPr>
      <xdr:spPr>
        <a:xfrm>
          <a:off x="12744450" y="10366057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37" name="Text Box 241"/>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38" name="Text Box 242"/>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39" name="Text Box 243"/>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0" name="Text Box 244"/>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1" name="Text Box 245"/>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2" name="Text Box 246"/>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3" name="Text Box 241"/>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4" name="Text Box 242"/>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5" name="Text Box 243"/>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6" name="Text Box 244"/>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7" name="Text Box 245"/>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8" name="Text Box 246"/>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49" name="Text Box 241"/>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0" name="Text Box 242"/>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1" name="Text Box 243"/>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2" name="Text Box 244"/>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3" name="Text Box 245"/>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4" name="Text Box 246"/>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5" name="Text Box 241"/>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6" name="Text Box 242"/>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7" name="Text Box 243"/>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8" name="Text Box 244"/>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59" name="Text Box 245"/>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60" name="Text Box 246"/>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61" name="Text Box 241"/>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62" name="Text Box 242"/>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63" name="Text Box 243"/>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64" name="Text Box 244"/>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65" name="Text Box 245"/>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14</xdr:col>
      <xdr:colOff>0</xdr:colOff>
      <xdr:row>40</xdr:row>
      <xdr:rowOff>0</xdr:rowOff>
    </xdr:from>
    <xdr:to>
      <xdr:col>43</xdr:col>
      <xdr:colOff>504825</xdr:colOff>
      <xdr:row>40</xdr:row>
      <xdr:rowOff>9525</xdr:rowOff>
    </xdr:to>
    <xdr:sp>
      <xdr:nvSpPr>
        <xdr:cNvPr id="51466" name="Text Box 246"/>
        <xdr:cNvSpPr txBox="1">
          <a:spLocks noChangeArrowheads="1"/>
        </xdr:cNvSpPr>
      </xdr:nvSpPr>
      <xdr:spPr>
        <a:xfrm>
          <a:off x="12744450" y="33251775"/>
          <a:ext cx="5048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67" name="Text Box 241"/>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68" name="Text Box 242"/>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69" name="Text Box 243"/>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0" name="Text Box 244"/>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1" name="Text Box 245"/>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2" name="Text Box 246"/>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3" name="Text Box 241"/>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4" name="Text Box 242"/>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5" name="Text Box 243"/>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6" name="Text Box 244"/>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7" name="Text Box 245"/>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43</xdr:row>
      <xdr:rowOff>0</xdr:rowOff>
    </xdr:from>
    <xdr:to>
      <xdr:col>43</xdr:col>
      <xdr:colOff>514350</xdr:colOff>
      <xdr:row>43</xdr:row>
      <xdr:rowOff>9525</xdr:rowOff>
    </xdr:to>
    <xdr:sp>
      <xdr:nvSpPr>
        <xdr:cNvPr id="51478" name="Text Box 246"/>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79" name="Text Box 241"/>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0" name="Text Box 242"/>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1" name="Text Box 243"/>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2" name="Text Box 244"/>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3" name="Text Box 245"/>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4" name="Text Box 246"/>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5" name="Text Box 241"/>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6" name="Text Box 242"/>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7" name="Text Box 243"/>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8" name="Text Box 244"/>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89" name="Text Box 245"/>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514350</xdr:colOff>
      <xdr:row>43</xdr:row>
      <xdr:rowOff>9525</xdr:rowOff>
    </xdr:to>
    <xdr:sp>
      <xdr:nvSpPr>
        <xdr:cNvPr id="51490" name="Text Box 246"/>
        <xdr:cNvSpPr txBox="1">
          <a:spLocks noChangeArrowheads="1"/>
        </xdr:cNvSpPr>
      </xdr:nvSpPr>
      <xdr:spPr>
        <a:xfrm>
          <a:off x="12744450" y="34857055"/>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847725</xdr:colOff>
      <xdr:row>43</xdr:row>
      <xdr:rowOff>9525</xdr:rowOff>
    </xdr:to>
    <xdr:sp>
      <xdr:nvSpPr>
        <xdr:cNvPr id="51491" name="Text Box 241"/>
        <xdr:cNvSpPr txBox="1">
          <a:spLocks noChangeArrowheads="1"/>
        </xdr:cNvSpPr>
      </xdr:nvSpPr>
      <xdr:spPr>
        <a:xfrm>
          <a:off x="12744450" y="34857055"/>
          <a:ext cx="8477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847725</xdr:colOff>
      <xdr:row>43</xdr:row>
      <xdr:rowOff>9525</xdr:rowOff>
    </xdr:to>
    <xdr:sp>
      <xdr:nvSpPr>
        <xdr:cNvPr id="51492" name="Text Box 242"/>
        <xdr:cNvSpPr txBox="1">
          <a:spLocks noChangeArrowheads="1"/>
        </xdr:cNvSpPr>
      </xdr:nvSpPr>
      <xdr:spPr>
        <a:xfrm>
          <a:off x="12744450" y="34857055"/>
          <a:ext cx="8477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847725</xdr:colOff>
      <xdr:row>43</xdr:row>
      <xdr:rowOff>9525</xdr:rowOff>
    </xdr:to>
    <xdr:sp>
      <xdr:nvSpPr>
        <xdr:cNvPr id="51493" name="Text Box 243"/>
        <xdr:cNvSpPr txBox="1">
          <a:spLocks noChangeArrowheads="1"/>
        </xdr:cNvSpPr>
      </xdr:nvSpPr>
      <xdr:spPr>
        <a:xfrm>
          <a:off x="12744450" y="34857055"/>
          <a:ext cx="8477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847725</xdr:colOff>
      <xdr:row>43</xdr:row>
      <xdr:rowOff>9525</xdr:rowOff>
    </xdr:to>
    <xdr:sp>
      <xdr:nvSpPr>
        <xdr:cNvPr id="51494" name="Text Box 244"/>
        <xdr:cNvSpPr txBox="1">
          <a:spLocks noChangeArrowheads="1"/>
        </xdr:cNvSpPr>
      </xdr:nvSpPr>
      <xdr:spPr>
        <a:xfrm>
          <a:off x="12744450" y="34857055"/>
          <a:ext cx="8477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847725</xdr:colOff>
      <xdr:row>43</xdr:row>
      <xdr:rowOff>9525</xdr:rowOff>
    </xdr:to>
    <xdr:sp>
      <xdr:nvSpPr>
        <xdr:cNvPr id="51495" name="Text Box 245"/>
        <xdr:cNvSpPr txBox="1">
          <a:spLocks noChangeArrowheads="1"/>
        </xdr:cNvSpPr>
      </xdr:nvSpPr>
      <xdr:spPr>
        <a:xfrm>
          <a:off x="12744450" y="34857055"/>
          <a:ext cx="8477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43</xdr:row>
      <xdr:rowOff>0</xdr:rowOff>
    </xdr:from>
    <xdr:to>
      <xdr:col>43</xdr:col>
      <xdr:colOff>847725</xdr:colOff>
      <xdr:row>43</xdr:row>
      <xdr:rowOff>9525</xdr:rowOff>
    </xdr:to>
    <xdr:sp>
      <xdr:nvSpPr>
        <xdr:cNvPr id="51496" name="Text Box 246"/>
        <xdr:cNvSpPr txBox="1">
          <a:spLocks noChangeArrowheads="1"/>
        </xdr:cNvSpPr>
      </xdr:nvSpPr>
      <xdr:spPr>
        <a:xfrm>
          <a:off x="12744450" y="34857055"/>
          <a:ext cx="8477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497" name="Text Box 241"/>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498" name="Text Box 242"/>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499" name="Text Box 243"/>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0" name="Text Box 244"/>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1" name="Text Box 245"/>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2" name="Text Box 246"/>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3" name="Text Box 241"/>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4" name="Text Box 242"/>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5" name="Text Box 243"/>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6" name="Text Box 244"/>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7" name="Text Box 245"/>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15</xdr:col>
      <xdr:colOff>504825</xdr:colOff>
      <xdr:row>179</xdr:row>
      <xdr:rowOff>0</xdr:rowOff>
    </xdr:from>
    <xdr:to>
      <xdr:col>43</xdr:col>
      <xdr:colOff>1857375</xdr:colOff>
      <xdr:row>179</xdr:row>
      <xdr:rowOff>9525</xdr:rowOff>
    </xdr:to>
    <xdr:sp>
      <xdr:nvSpPr>
        <xdr:cNvPr id="51508" name="Text Box 246"/>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09" name="Text Box 241"/>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0" name="Text Box 242"/>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1" name="Text Box 243"/>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2" name="Text Box 244"/>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3" name="Text Box 245"/>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4" name="Text Box 246"/>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5" name="Text Box 241"/>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6" name="Text Box 242"/>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7" name="Text Box 243"/>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8" name="Text Box 244"/>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19" name="Text Box 245"/>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43</xdr:col>
      <xdr:colOff>1857375</xdr:colOff>
      <xdr:row>179</xdr:row>
      <xdr:rowOff>9525</xdr:rowOff>
    </xdr:to>
    <xdr:sp>
      <xdr:nvSpPr>
        <xdr:cNvPr id="51520" name="Text Box 246"/>
        <xdr:cNvSpPr txBox="1">
          <a:spLocks noChangeArrowheads="1"/>
        </xdr:cNvSpPr>
      </xdr:nvSpPr>
      <xdr:spPr>
        <a:xfrm>
          <a:off x="12744450" y="14223682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44</xdr:col>
      <xdr:colOff>66675</xdr:colOff>
      <xdr:row>179</xdr:row>
      <xdr:rowOff>9525</xdr:rowOff>
    </xdr:to>
    <xdr:sp>
      <xdr:nvSpPr>
        <xdr:cNvPr id="51521" name="Text Box 241"/>
        <xdr:cNvSpPr txBox="1">
          <a:spLocks noChangeArrowheads="1"/>
        </xdr:cNvSpPr>
      </xdr:nvSpPr>
      <xdr:spPr>
        <a:xfrm>
          <a:off x="12744450" y="14223682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44</xdr:col>
      <xdr:colOff>66675</xdr:colOff>
      <xdr:row>179</xdr:row>
      <xdr:rowOff>9525</xdr:rowOff>
    </xdr:to>
    <xdr:sp>
      <xdr:nvSpPr>
        <xdr:cNvPr id="51522" name="Text Box 242"/>
        <xdr:cNvSpPr txBox="1">
          <a:spLocks noChangeArrowheads="1"/>
        </xdr:cNvSpPr>
      </xdr:nvSpPr>
      <xdr:spPr>
        <a:xfrm>
          <a:off x="12744450" y="14223682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44</xdr:col>
      <xdr:colOff>66675</xdr:colOff>
      <xdr:row>179</xdr:row>
      <xdr:rowOff>9525</xdr:rowOff>
    </xdr:to>
    <xdr:sp>
      <xdr:nvSpPr>
        <xdr:cNvPr id="51523" name="Text Box 243"/>
        <xdr:cNvSpPr txBox="1">
          <a:spLocks noChangeArrowheads="1"/>
        </xdr:cNvSpPr>
      </xdr:nvSpPr>
      <xdr:spPr>
        <a:xfrm>
          <a:off x="12744450" y="14223682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44</xdr:col>
      <xdr:colOff>66675</xdr:colOff>
      <xdr:row>179</xdr:row>
      <xdr:rowOff>9525</xdr:rowOff>
    </xdr:to>
    <xdr:sp>
      <xdr:nvSpPr>
        <xdr:cNvPr id="51524" name="Text Box 244"/>
        <xdr:cNvSpPr txBox="1">
          <a:spLocks noChangeArrowheads="1"/>
        </xdr:cNvSpPr>
      </xdr:nvSpPr>
      <xdr:spPr>
        <a:xfrm>
          <a:off x="12744450" y="14223682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44</xdr:col>
      <xdr:colOff>66675</xdr:colOff>
      <xdr:row>179</xdr:row>
      <xdr:rowOff>9525</xdr:rowOff>
    </xdr:to>
    <xdr:sp>
      <xdr:nvSpPr>
        <xdr:cNvPr id="51525" name="Text Box 245"/>
        <xdr:cNvSpPr txBox="1">
          <a:spLocks noChangeArrowheads="1"/>
        </xdr:cNvSpPr>
      </xdr:nvSpPr>
      <xdr:spPr>
        <a:xfrm>
          <a:off x="12744450" y="14223682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179</xdr:row>
      <xdr:rowOff>0</xdr:rowOff>
    </xdr:from>
    <xdr:to>
      <xdr:col>44</xdr:col>
      <xdr:colOff>66675</xdr:colOff>
      <xdr:row>179</xdr:row>
      <xdr:rowOff>9525</xdr:rowOff>
    </xdr:to>
    <xdr:sp>
      <xdr:nvSpPr>
        <xdr:cNvPr id="51526" name="Text Box 246"/>
        <xdr:cNvSpPr txBox="1">
          <a:spLocks noChangeArrowheads="1"/>
        </xdr:cNvSpPr>
      </xdr:nvSpPr>
      <xdr:spPr>
        <a:xfrm>
          <a:off x="12744450" y="14223682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27" name="Text Box 241"/>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28" name="Text Box 242"/>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29" name="Text Box 243"/>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0" name="Text Box 244"/>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1" name="Text Box 245"/>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2" name="Text Box 246"/>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3" name="Text Box 241"/>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4" name="Text Box 242"/>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5" name="Text Box 243"/>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6" name="Text Box 244"/>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7" name="Text Box 245"/>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8" name="Text Box 246"/>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39" name="Text Box 241"/>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0" name="Text Box 242"/>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1" name="Text Box 243"/>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2" name="Text Box 244"/>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3" name="Text Box 245"/>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4" name="Text Box 246"/>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5" name="Text Box 241"/>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6" name="Text Box 242"/>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7" name="Text Box 243"/>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8" name="Text Box 244"/>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49" name="Text Box 245"/>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0" name="Text Box 246"/>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1" name="Text Box 241"/>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2" name="Text Box 242"/>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3" name="Text Box 243"/>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4" name="Text Box 244"/>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5" name="Text Box 245"/>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6" name="Text Box 246"/>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7" name="Text Box 241"/>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8" name="Text Box 242"/>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59" name="Text Box 243"/>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0" name="Text Box 244"/>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1" name="Text Box 245"/>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2" name="Text Box 246"/>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3" name="Text Box 241"/>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4" name="Text Box 242"/>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5" name="Text Box 243"/>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6" name="Text Box 244"/>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7" name="Text Box 245"/>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504825</xdr:colOff>
      <xdr:row>22</xdr:row>
      <xdr:rowOff>0</xdr:rowOff>
    </xdr:from>
    <xdr:to>
      <xdr:col>43</xdr:col>
      <xdr:colOff>514350</xdr:colOff>
      <xdr:row>22</xdr:row>
      <xdr:rowOff>9525</xdr:rowOff>
    </xdr:to>
    <xdr:sp>
      <xdr:nvSpPr>
        <xdr:cNvPr id="51568" name="Text Box 246"/>
        <xdr:cNvSpPr txBox="1">
          <a:spLocks noChangeArrowheads="1"/>
        </xdr:cNvSpPr>
      </xdr:nvSpPr>
      <xdr:spPr>
        <a:xfrm>
          <a:off x="12744450" y="18726150"/>
          <a:ext cx="5143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69" name="Text Box 241"/>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0" name="Text Box 242"/>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1" name="Text Box 243"/>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2" name="Text Box 244"/>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3" name="Text Box 245"/>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4" name="Text Box 246"/>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5" name="Text Box 241"/>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6" name="Text Box 242"/>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7" name="Text Box 243"/>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8" name="Text Box 244"/>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79" name="Text Box 245"/>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43</xdr:col>
      <xdr:colOff>1857375</xdr:colOff>
      <xdr:row>201</xdr:row>
      <xdr:rowOff>9525</xdr:rowOff>
    </xdr:to>
    <xdr:sp>
      <xdr:nvSpPr>
        <xdr:cNvPr id="51580" name="Text Box 246"/>
        <xdr:cNvSpPr txBox="1">
          <a:spLocks noChangeArrowheads="1"/>
        </xdr:cNvSpPr>
      </xdr:nvSpPr>
      <xdr:spPr>
        <a:xfrm>
          <a:off x="12744450" y="158036895"/>
          <a:ext cx="18573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44</xdr:col>
      <xdr:colOff>66675</xdr:colOff>
      <xdr:row>201</xdr:row>
      <xdr:rowOff>9525</xdr:rowOff>
    </xdr:to>
    <xdr:sp>
      <xdr:nvSpPr>
        <xdr:cNvPr id="51581" name="Text Box 241"/>
        <xdr:cNvSpPr txBox="1">
          <a:spLocks noChangeArrowheads="1"/>
        </xdr:cNvSpPr>
      </xdr:nvSpPr>
      <xdr:spPr>
        <a:xfrm>
          <a:off x="12744450" y="15803689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44</xdr:col>
      <xdr:colOff>66675</xdr:colOff>
      <xdr:row>201</xdr:row>
      <xdr:rowOff>9525</xdr:rowOff>
    </xdr:to>
    <xdr:sp>
      <xdr:nvSpPr>
        <xdr:cNvPr id="51582" name="Text Box 242"/>
        <xdr:cNvSpPr txBox="1">
          <a:spLocks noChangeArrowheads="1"/>
        </xdr:cNvSpPr>
      </xdr:nvSpPr>
      <xdr:spPr>
        <a:xfrm>
          <a:off x="12744450" y="15803689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44</xdr:col>
      <xdr:colOff>66675</xdr:colOff>
      <xdr:row>201</xdr:row>
      <xdr:rowOff>9525</xdr:rowOff>
    </xdr:to>
    <xdr:sp>
      <xdr:nvSpPr>
        <xdr:cNvPr id="51583" name="Text Box 243"/>
        <xdr:cNvSpPr txBox="1">
          <a:spLocks noChangeArrowheads="1"/>
        </xdr:cNvSpPr>
      </xdr:nvSpPr>
      <xdr:spPr>
        <a:xfrm>
          <a:off x="12744450" y="15803689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44</xdr:col>
      <xdr:colOff>66675</xdr:colOff>
      <xdr:row>201</xdr:row>
      <xdr:rowOff>9525</xdr:rowOff>
    </xdr:to>
    <xdr:sp>
      <xdr:nvSpPr>
        <xdr:cNvPr id="51584" name="Text Box 244"/>
        <xdr:cNvSpPr txBox="1">
          <a:spLocks noChangeArrowheads="1"/>
        </xdr:cNvSpPr>
      </xdr:nvSpPr>
      <xdr:spPr>
        <a:xfrm>
          <a:off x="12744450" y="15803689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44</xdr:col>
      <xdr:colOff>66675</xdr:colOff>
      <xdr:row>201</xdr:row>
      <xdr:rowOff>9525</xdr:rowOff>
    </xdr:to>
    <xdr:sp>
      <xdr:nvSpPr>
        <xdr:cNvPr id="51585" name="Text Box 245"/>
        <xdr:cNvSpPr txBox="1">
          <a:spLocks noChangeArrowheads="1"/>
        </xdr:cNvSpPr>
      </xdr:nvSpPr>
      <xdr:spPr>
        <a:xfrm>
          <a:off x="12744450" y="15803689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32</xdr:col>
      <xdr:colOff>390525</xdr:colOff>
      <xdr:row>201</xdr:row>
      <xdr:rowOff>0</xdr:rowOff>
    </xdr:from>
    <xdr:to>
      <xdr:col>44</xdr:col>
      <xdr:colOff>66675</xdr:colOff>
      <xdr:row>201</xdr:row>
      <xdr:rowOff>9525</xdr:rowOff>
    </xdr:to>
    <xdr:sp>
      <xdr:nvSpPr>
        <xdr:cNvPr id="51586" name="Text Box 246"/>
        <xdr:cNvSpPr txBox="1">
          <a:spLocks noChangeArrowheads="1"/>
        </xdr:cNvSpPr>
      </xdr:nvSpPr>
      <xdr:spPr>
        <a:xfrm>
          <a:off x="12744450" y="158036895"/>
          <a:ext cx="23622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87"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88"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89"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0"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1"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2"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3"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4"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5"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6"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7"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8"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599"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0"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1"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2"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3"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4"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5"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6"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7"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8"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09"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0"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1"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2"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3"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4"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5"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6"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7"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8"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19"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0"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1"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2"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3"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4"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5"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6"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7"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8"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29"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0"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1"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2"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3"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4"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5"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6"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7"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8"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39"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0"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1"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2"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3"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4"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5"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6"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7"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8"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49"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0"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1"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2"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3"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4"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5"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6"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7"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8"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59"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0"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1"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2"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3"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4"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5"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6"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7"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8"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69"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0"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1"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2"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3"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4"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5"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6"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7"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8"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79"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0"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1"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2"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3"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4"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5"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6"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7"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8"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89" name="Text Box 241"/>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90" name="Text Box 242"/>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91" name="Text Box 243"/>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92" name="Text Box 244"/>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93" name="Text Box 245"/>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43</xdr:col>
      <xdr:colOff>2047875</xdr:colOff>
      <xdr:row>211</xdr:row>
      <xdr:rowOff>9525</xdr:rowOff>
    </xdr:to>
    <xdr:sp>
      <xdr:nvSpPr>
        <xdr:cNvPr id="51694" name="Text Box 246"/>
        <xdr:cNvSpPr txBox="1">
          <a:spLocks noChangeArrowheads="1"/>
        </xdr:cNvSpPr>
      </xdr:nvSpPr>
      <xdr:spPr>
        <a:xfrm>
          <a:off x="12744450" y="1654168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695"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696"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697"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698"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699"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0"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1"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2"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3"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4"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5"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6"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7"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8"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09"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0"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1"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2"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3"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4"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5"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6"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7"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8"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19"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0"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1"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2"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3"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4"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5"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6"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7"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8"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29"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0"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1"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2"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3"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4"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5"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6"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7"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8"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39"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0"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1"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2"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3"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4"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5"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6"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7"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8"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49"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0"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1"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2"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3"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4"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5"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6"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7"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8"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59"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0"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1"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2"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3"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4"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5"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6"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7"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8"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69"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0"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1"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2"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3"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4"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5"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6"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7"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8"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79"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0"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1"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2"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3"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4"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5"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6"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7"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8"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89"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0"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1"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2"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3"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4"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5"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6"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7" name="Text Box 241"/>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8" name="Text Box 242"/>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799" name="Text Box 243"/>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800" name="Text Box 244"/>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801" name="Text Box 245"/>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33</xdr:col>
      <xdr:colOff>409575</xdr:colOff>
      <xdr:row>211</xdr:row>
      <xdr:rowOff>0</xdr:rowOff>
    </xdr:from>
    <xdr:to>
      <xdr:col>43</xdr:col>
      <xdr:colOff>2057400</xdr:colOff>
      <xdr:row>211</xdr:row>
      <xdr:rowOff>9525</xdr:rowOff>
    </xdr:to>
    <xdr:sp>
      <xdr:nvSpPr>
        <xdr:cNvPr id="51802" name="Text Box 246"/>
        <xdr:cNvSpPr txBox="1">
          <a:spLocks noChangeArrowheads="1"/>
        </xdr:cNvSpPr>
      </xdr:nvSpPr>
      <xdr:spPr>
        <a:xfrm>
          <a:off x="12744450" y="165416865"/>
          <a:ext cx="20574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03"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04"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05"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06"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07"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08"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09"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0"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1"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2"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3"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4"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5"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6"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7"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8"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19"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0"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1"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2"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3"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4"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5"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6"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7"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8"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29"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0"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1"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2"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3"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4"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5"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6"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7"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8"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39"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0"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1"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2"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3"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4"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5"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6"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7"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8"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49"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0"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1"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2"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3"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4"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5"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6"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7"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8"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59"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0"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1"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2"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3"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4"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5"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6"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7"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8"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69"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0"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1"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2"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3"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4"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5"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6"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7"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8"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79"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0"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1"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2"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3"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4"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5"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6"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7"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8"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89"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0"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1"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2"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3"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4"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5"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6"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7"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8"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899"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0"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1"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2"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3"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4"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5" name="Text Box 241"/>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6" name="Text Box 242"/>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7" name="Text Box 243"/>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8" name="Text Box 244"/>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09" name="Text Box 245"/>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409575</xdr:colOff>
      <xdr:row>211</xdr:row>
      <xdr:rowOff>0</xdr:rowOff>
    </xdr:from>
    <xdr:to>
      <xdr:col>44</xdr:col>
      <xdr:colOff>171450</xdr:colOff>
      <xdr:row>211</xdr:row>
      <xdr:rowOff>9525</xdr:rowOff>
    </xdr:to>
    <xdr:sp>
      <xdr:nvSpPr>
        <xdr:cNvPr id="51910" name="Text Box 246"/>
        <xdr:cNvSpPr txBox="1">
          <a:spLocks noChangeArrowheads="1"/>
        </xdr:cNvSpPr>
      </xdr:nvSpPr>
      <xdr:spPr>
        <a:xfrm>
          <a:off x="12744450" y="165416865"/>
          <a:ext cx="24669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184</xdr:row>
      <xdr:rowOff>0</xdr:rowOff>
    </xdr:from>
    <xdr:to>
      <xdr:col>1</xdr:col>
      <xdr:colOff>1009650</xdr:colOff>
      <xdr:row>184</xdr:row>
      <xdr:rowOff>9525</xdr:rowOff>
    </xdr:to>
    <xdr:sp>
      <xdr:nvSpPr>
        <xdr:cNvPr id="86076"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77"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78"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79"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0"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1"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2"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3"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4"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5"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6"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7"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8"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89"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0"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1"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2"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3"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4"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5"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6"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7"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8"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099"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0"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1"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2"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3"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4"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5"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6"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7"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8"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09"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0"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1"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2"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3"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4"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5"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6"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7"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8"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19"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0"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1"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2"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3"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4"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5"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6"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7"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8"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29"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0"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1"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2"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3"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4"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5"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6"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7"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8"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39"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0"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1"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2"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3"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4"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5"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6"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7"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8"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49"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0"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1"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2"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3"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4"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5"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6"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7"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8"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59"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0"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1"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2"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3"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4"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5"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6"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7"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8"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69"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0"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1"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2"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3"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4"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5"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6"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7"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8" name="Text Box 241"/>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79" name="Text Box 242"/>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80" name="Text Box 243"/>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81" name="Text Box 244"/>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82" name="Text Box 245"/>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184</xdr:row>
      <xdr:rowOff>0</xdr:rowOff>
    </xdr:from>
    <xdr:to>
      <xdr:col>1</xdr:col>
      <xdr:colOff>1009650</xdr:colOff>
      <xdr:row>184</xdr:row>
      <xdr:rowOff>9525</xdr:rowOff>
    </xdr:to>
    <xdr:sp>
      <xdr:nvSpPr>
        <xdr:cNvPr id="86183" name="Text Box 246"/>
        <xdr:cNvSpPr txBox="1">
          <a:spLocks noChangeArrowheads="1"/>
        </xdr:cNvSpPr>
      </xdr:nvSpPr>
      <xdr:spPr>
        <a:xfrm>
          <a:off x="0" y="15412656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84" name="Text Box 241"/>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85" name="Text Box 242"/>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86" name="Text Box 243"/>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87" name="Text Box 244"/>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88" name="Text Box 245"/>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89" name="Text Box 246"/>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90" name="Text Box 241"/>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91" name="Text Box 242"/>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92" name="Text Box 243"/>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93" name="Text Box 244"/>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94" name="Text Box 245"/>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561975</xdr:colOff>
      <xdr:row>170</xdr:row>
      <xdr:rowOff>9525</xdr:rowOff>
    </xdr:to>
    <xdr:sp>
      <xdr:nvSpPr>
        <xdr:cNvPr id="86195" name="Text Box 246"/>
        <xdr:cNvSpPr txBox="1">
          <a:spLocks noChangeArrowheads="1"/>
        </xdr:cNvSpPr>
      </xdr:nvSpPr>
      <xdr:spPr>
        <a:xfrm>
          <a:off x="0" y="141839315"/>
          <a:ext cx="10096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1066800</xdr:colOff>
      <xdr:row>170</xdr:row>
      <xdr:rowOff>9525</xdr:rowOff>
    </xdr:to>
    <xdr:sp>
      <xdr:nvSpPr>
        <xdr:cNvPr id="86196" name="Text Box 241"/>
        <xdr:cNvSpPr txBox="1">
          <a:spLocks noChangeArrowheads="1"/>
        </xdr:cNvSpPr>
      </xdr:nvSpPr>
      <xdr:spPr>
        <a:xfrm>
          <a:off x="0" y="141839315"/>
          <a:ext cx="15144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1066800</xdr:colOff>
      <xdr:row>170</xdr:row>
      <xdr:rowOff>9525</xdr:rowOff>
    </xdr:to>
    <xdr:sp>
      <xdr:nvSpPr>
        <xdr:cNvPr id="86197" name="Text Box 242"/>
        <xdr:cNvSpPr txBox="1">
          <a:spLocks noChangeArrowheads="1"/>
        </xdr:cNvSpPr>
      </xdr:nvSpPr>
      <xdr:spPr>
        <a:xfrm>
          <a:off x="0" y="141839315"/>
          <a:ext cx="15144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1066800</xdr:colOff>
      <xdr:row>170</xdr:row>
      <xdr:rowOff>9525</xdr:rowOff>
    </xdr:to>
    <xdr:sp>
      <xdr:nvSpPr>
        <xdr:cNvPr id="86198" name="Text Box 243"/>
        <xdr:cNvSpPr txBox="1">
          <a:spLocks noChangeArrowheads="1"/>
        </xdr:cNvSpPr>
      </xdr:nvSpPr>
      <xdr:spPr>
        <a:xfrm>
          <a:off x="0" y="141839315"/>
          <a:ext cx="15144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1066800</xdr:colOff>
      <xdr:row>170</xdr:row>
      <xdr:rowOff>9525</xdr:rowOff>
    </xdr:to>
    <xdr:sp>
      <xdr:nvSpPr>
        <xdr:cNvPr id="86199" name="Text Box 244"/>
        <xdr:cNvSpPr txBox="1">
          <a:spLocks noChangeArrowheads="1"/>
        </xdr:cNvSpPr>
      </xdr:nvSpPr>
      <xdr:spPr>
        <a:xfrm>
          <a:off x="0" y="141839315"/>
          <a:ext cx="15144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1066800</xdr:colOff>
      <xdr:row>170</xdr:row>
      <xdr:rowOff>9525</xdr:rowOff>
    </xdr:to>
    <xdr:sp>
      <xdr:nvSpPr>
        <xdr:cNvPr id="86200" name="Text Box 245"/>
        <xdr:cNvSpPr txBox="1">
          <a:spLocks noChangeArrowheads="1"/>
        </xdr:cNvSpPr>
      </xdr:nvSpPr>
      <xdr:spPr>
        <a:xfrm>
          <a:off x="0" y="141839315"/>
          <a:ext cx="15144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1066800</xdr:colOff>
      <xdr:row>170</xdr:row>
      <xdr:rowOff>9525</xdr:rowOff>
    </xdr:to>
    <xdr:sp>
      <xdr:nvSpPr>
        <xdr:cNvPr id="86201" name="Text Box 246"/>
        <xdr:cNvSpPr txBox="1">
          <a:spLocks noChangeArrowheads="1"/>
        </xdr:cNvSpPr>
      </xdr:nvSpPr>
      <xdr:spPr>
        <a:xfrm>
          <a:off x="0" y="141839315"/>
          <a:ext cx="15144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2"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3"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4"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5"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6"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7"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8"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09"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0"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1"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2"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3"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4"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5"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6"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7"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8"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19"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0"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1"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2"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3"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4"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5"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6"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7"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8"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29"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0"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1"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2"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3"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4"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5"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6"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7"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8"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39"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0"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1"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2"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3"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4"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5"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6"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7"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8"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49"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0"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1"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2"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3"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4"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5"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6"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7"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8"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59"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0"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1"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2"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3"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4"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5"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6"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7"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8"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69"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0"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1"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2"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3"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4"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5"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6"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7"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8"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79"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0"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1"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2"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3"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4"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5"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6"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7"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8"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89"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0"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1"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2"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3"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4"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5"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6"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7"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8"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299"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0"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1"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2"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3"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4" name="Text Box 241"/>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5" name="Text Box 242"/>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6" name="Text Box 243"/>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7" name="Text Box 244"/>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8" name="Text Box 245"/>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170</xdr:row>
      <xdr:rowOff>0</xdr:rowOff>
    </xdr:from>
    <xdr:to>
      <xdr:col>1</xdr:col>
      <xdr:colOff>1009650</xdr:colOff>
      <xdr:row>170</xdr:row>
      <xdr:rowOff>9525</xdr:rowOff>
    </xdr:to>
    <xdr:sp>
      <xdr:nvSpPr>
        <xdr:cNvPr id="86309" name="Text Box 246"/>
        <xdr:cNvSpPr txBox="1">
          <a:spLocks noChangeArrowheads="1"/>
        </xdr:cNvSpPr>
      </xdr:nvSpPr>
      <xdr:spPr>
        <a:xfrm>
          <a:off x="0" y="141839315"/>
          <a:ext cx="14573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0" name="Text Box 241"/>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1" name="Text Box 242"/>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2" name="Text Box 243"/>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3" name="Text Box 244"/>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4" name="Text Box 245"/>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5" name="Text Box 246"/>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6" name="Text Box 241"/>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7" name="Text Box 242"/>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8" name="Text Box 243"/>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19" name="Text Box 244"/>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20" name="Text Box 245"/>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304800</xdr:colOff>
      <xdr:row>170</xdr:row>
      <xdr:rowOff>9525</xdr:rowOff>
    </xdr:to>
    <xdr:sp>
      <xdr:nvSpPr>
        <xdr:cNvPr id="86321" name="Text Box 246"/>
        <xdr:cNvSpPr txBox="1">
          <a:spLocks noChangeArrowheads="1"/>
        </xdr:cNvSpPr>
      </xdr:nvSpPr>
      <xdr:spPr>
        <a:xfrm>
          <a:off x="11906250" y="141839315"/>
          <a:ext cx="25431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809625</xdr:colOff>
      <xdr:row>170</xdr:row>
      <xdr:rowOff>9525</xdr:rowOff>
    </xdr:to>
    <xdr:sp>
      <xdr:nvSpPr>
        <xdr:cNvPr id="86322" name="Text Box 241"/>
        <xdr:cNvSpPr txBox="1">
          <a:spLocks noChangeArrowheads="1"/>
        </xdr:cNvSpPr>
      </xdr:nvSpPr>
      <xdr:spPr>
        <a:xfrm>
          <a:off x="11906250" y="141839315"/>
          <a:ext cx="30480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809625</xdr:colOff>
      <xdr:row>170</xdr:row>
      <xdr:rowOff>9525</xdr:rowOff>
    </xdr:to>
    <xdr:sp>
      <xdr:nvSpPr>
        <xdr:cNvPr id="86323" name="Text Box 242"/>
        <xdr:cNvSpPr txBox="1">
          <a:spLocks noChangeArrowheads="1"/>
        </xdr:cNvSpPr>
      </xdr:nvSpPr>
      <xdr:spPr>
        <a:xfrm>
          <a:off x="11906250" y="141839315"/>
          <a:ext cx="30480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809625</xdr:colOff>
      <xdr:row>170</xdr:row>
      <xdr:rowOff>9525</xdr:rowOff>
    </xdr:to>
    <xdr:sp>
      <xdr:nvSpPr>
        <xdr:cNvPr id="86324" name="Text Box 243"/>
        <xdr:cNvSpPr txBox="1">
          <a:spLocks noChangeArrowheads="1"/>
        </xdr:cNvSpPr>
      </xdr:nvSpPr>
      <xdr:spPr>
        <a:xfrm>
          <a:off x="11906250" y="141839315"/>
          <a:ext cx="30480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809625</xdr:colOff>
      <xdr:row>170</xdr:row>
      <xdr:rowOff>9525</xdr:rowOff>
    </xdr:to>
    <xdr:sp>
      <xdr:nvSpPr>
        <xdr:cNvPr id="86325" name="Text Box 244"/>
        <xdr:cNvSpPr txBox="1">
          <a:spLocks noChangeArrowheads="1"/>
        </xdr:cNvSpPr>
      </xdr:nvSpPr>
      <xdr:spPr>
        <a:xfrm>
          <a:off x="11906250" y="141839315"/>
          <a:ext cx="30480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809625</xdr:colOff>
      <xdr:row>170</xdr:row>
      <xdr:rowOff>9525</xdr:rowOff>
    </xdr:to>
    <xdr:sp>
      <xdr:nvSpPr>
        <xdr:cNvPr id="86326" name="Text Box 245"/>
        <xdr:cNvSpPr txBox="1">
          <a:spLocks noChangeArrowheads="1"/>
        </xdr:cNvSpPr>
      </xdr:nvSpPr>
      <xdr:spPr>
        <a:xfrm>
          <a:off x="11906250" y="141839315"/>
          <a:ext cx="30480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170</xdr:row>
      <xdr:rowOff>0</xdr:rowOff>
    </xdr:from>
    <xdr:to>
      <xdr:col>36</xdr:col>
      <xdr:colOff>809625</xdr:colOff>
      <xdr:row>170</xdr:row>
      <xdr:rowOff>9525</xdr:rowOff>
    </xdr:to>
    <xdr:sp>
      <xdr:nvSpPr>
        <xdr:cNvPr id="86327" name="Text Box 246"/>
        <xdr:cNvSpPr txBox="1">
          <a:spLocks noChangeArrowheads="1"/>
        </xdr:cNvSpPr>
      </xdr:nvSpPr>
      <xdr:spPr>
        <a:xfrm>
          <a:off x="11906250" y="141839315"/>
          <a:ext cx="30480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28" name="Text Box 241"/>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29" name="Text Box 242"/>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0" name="Text Box 243"/>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1" name="Text Box 244"/>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2" name="Text Box 245"/>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3" name="Text Box 246"/>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4" name="Text Box 241"/>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5" name="Text Box 242"/>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6" name="Text Box 243"/>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7" name="Text Box 244"/>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8" name="Text Box 245"/>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2019300</xdr:colOff>
      <xdr:row>164</xdr:row>
      <xdr:rowOff>9525</xdr:rowOff>
    </xdr:to>
    <xdr:sp>
      <xdr:nvSpPr>
        <xdr:cNvPr id="86339" name="Text Box 246"/>
        <xdr:cNvSpPr txBox="1">
          <a:spLocks noChangeArrowheads="1"/>
        </xdr:cNvSpPr>
      </xdr:nvSpPr>
      <xdr:spPr>
        <a:xfrm>
          <a:off x="11906250" y="137048240"/>
          <a:ext cx="20193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2200275</xdr:colOff>
      <xdr:row>164</xdr:row>
      <xdr:rowOff>9525</xdr:rowOff>
    </xdr:to>
    <xdr:sp>
      <xdr:nvSpPr>
        <xdr:cNvPr id="86340" name="Text Box 241"/>
        <xdr:cNvSpPr txBox="1">
          <a:spLocks noChangeArrowheads="1"/>
        </xdr:cNvSpPr>
      </xdr:nvSpPr>
      <xdr:spPr>
        <a:xfrm>
          <a:off x="11906250" y="137048240"/>
          <a:ext cx="2200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2200275</xdr:colOff>
      <xdr:row>164</xdr:row>
      <xdr:rowOff>9525</xdr:rowOff>
    </xdr:to>
    <xdr:sp>
      <xdr:nvSpPr>
        <xdr:cNvPr id="86341" name="Text Box 242"/>
        <xdr:cNvSpPr txBox="1">
          <a:spLocks noChangeArrowheads="1"/>
        </xdr:cNvSpPr>
      </xdr:nvSpPr>
      <xdr:spPr>
        <a:xfrm>
          <a:off x="11906250" y="137048240"/>
          <a:ext cx="2200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2200275</xdr:colOff>
      <xdr:row>164</xdr:row>
      <xdr:rowOff>9525</xdr:rowOff>
    </xdr:to>
    <xdr:sp>
      <xdr:nvSpPr>
        <xdr:cNvPr id="86342" name="Text Box 243"/>
        <xdr:cNvSpPr txBox="1">
          <a:spLocks noChangeArrowheads="1"/>
        </xdr:cNvSpPr>
      </xdr:nvSpPr>
      <xdr:spPr>
        <a:xfrm>
          <a:off x="11906250" y="137048240"/>
          <a:ext cx="2200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2200275</xdr:colOff>
      <xdr:row>164</xdr:row>
      <xdr:rowOff>9525</xdr:rowOff>
    </xdr:to>
    <xdr:sp>
      <xdr:nvSpPr>
        <xdr:cNvPr id="86343" name="Text Box 244"/>
        <xdr:cNvSpPr txBox="1">
          <a:spLocks noChangeArrowheads="1"/>
        </xdr:cNvSpPr>
      </xdr:nvSpPr>
      <xdr:spPr>
        <a:xfrm>
          <a:off x="11906250" y="137048240"/>
          <a:ext cx="2200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2200275</xdr:colOff>
      <xdr:row>164</xdr:row>
      <xdr:rowOff>9525</xdr:rowOff>
    </xdr:to>
    <xdr:sp>
      <xdr:nvSpPr>
        <xdr:cNvPr id="86344" name="Text Box 245"/>
        <xdr:cNvSpPr txBox="1">
          <a:spLocks noChangeArrowheads="1"/>
        </xdr:cNvSpPr>
      </xdr:nvSpPr>
      <xdr:spPr>
        <a:xfrm>
          <a:off x="11906250" y="137048240"/>
          <a:ext cx="2200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24</xdr:col>
      <xdr:colOff>504825</xdr:colOff>
      <xdr:row>164</xdr:row>
      <xdr:rowOff>0</xdr:rowOff>
    </xdr:from>
    <xdr:to>
      <xdr:col>35</xdr:col>
      <xdr:colOff>2200275</xdr:colOff>
      <xdr:row>164</xdr:row>
      <xdr:rowOff>9525</xdr:rowOff>
    </xdr:to>
    <xdr:sp>
      <xdr:nvSpPr>
        <xdr:cNvPr id="86345" name="Text Box 246"/>
        <xdr:cNvSpPr txBox="1">
          <a:spLocks noChangeArrowheads="1"/>
        </xdr:cNvSpPr>
      </xdr:nvSpPr>
      <xdr:spPr>
        <a:xfrm>
          <a:off x="11906250" y="137048240"/>
          <a:ext cx="22002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46"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47"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48"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49"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0"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1"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2"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3"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4"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5"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6"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7"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8"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59"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0"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1"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2"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3"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4"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5"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6"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7"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8"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69"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0"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1"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2"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3"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4"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5"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6"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7"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8"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79"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0"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1"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2"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3"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4"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5"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6"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7"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8"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89"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0"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1"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2"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3"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4"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5"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6"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7"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8"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399"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0"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1"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2"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3"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4"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5"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6"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7"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8"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09"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0"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1"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2"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3"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4"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5"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6"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7"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8"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19"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0"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1"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2"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3"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4"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5"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6"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7"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8"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29"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0"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1"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2"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3"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4"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5"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6"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7"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8"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39"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0"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1"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2"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3"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4"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5"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6"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7"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8" name="Text Box 241"/>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49" name="Text Box 242"/>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50" name="Text Box 243"/>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51" name="Text Box 244"/>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52" name="Text Box 245"/>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165</xdr:row>
      <xdr:rowOff>0</xdr:rowOff>
    </xdr:from>
    <xdr:to>
      <xdr:col>35</xdr:col>
      <xdr:colOff>2047875</xdr:colOff>
      <xdr:row>165</xdr:row>
      <xdr:rowOff>9525</xdr:rowOff>
    </xdr:to>
    <xdr:sp>
      <xdr:nvSpPr>
        <xdr:cNvPr id="86453" name="Text Box 246"/>
        <xdr:cNvSpPr txBox="1">
          <a:spLocks noChangeArrowheads="1"/>
        </xdr:cNvSpPr>
      </xdr:nvSpPr>
      <xdr:spPr>
        <a:xfrm>
          <a:off x="11906250" y="138162665"/>
          <a:ext cx="204787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54"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55"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56"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57"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58"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59"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0"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1"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2"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3"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4"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5"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6"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7"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8"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69"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0"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1"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2"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3"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4"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5"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6"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7"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8"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79"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0"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1"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2"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3"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4"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5"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6"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7"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8"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89"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0"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1"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2"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3"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4"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5"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6"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7"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8"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499"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0"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1"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2"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3"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4"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5"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6"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7"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8"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09"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0"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1"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2"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3"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4"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5"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6"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7"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8"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19"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0"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1"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2"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3"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4"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5"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6"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7"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8"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29"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0"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1"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2"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3"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4"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5"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6"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7"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8"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39"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0"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1"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2"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3"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4"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5"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6"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7"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8"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49"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0"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1"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2"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3"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4"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5"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6" name="Text Box 241"/>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7" name="Text Box 242"/>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8" name="Text Box 243"/>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59" name="Text Box 244"/>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60" name="Text Box 245"/>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25</xdr:col>
      <xdr:colOff>447675</xdr:colOff>
      <xdr:row>186</xdr:row>
      <xdr:rowOff>0</xdr:rowOff>
    </xdr:from>
    <xdr:to>
      <xdr:col>36</xdr:col>
      <xdr:colOff>238125</xdr:colOff>
      <xdr:row>186</xdr:row>
      <xdr:rowOff>9525</xdr:rowOff>
    </xdr:to>
    <xdr:sp>
      <xdr:nvSpPr>
        <xdr:cNvPr id="86561" name="Text Box 246"/>
        <xdr:cNvSpPr txBox="1">
          <a:spLocks noChangeArrowheads="1"/>
        </xdr:cNvSpPr>
      </xdr:nvSpPr>
      <xdr:spPr>
        <a:xfrm>
          <a:off x="11906250" y="155698190"/>
          <a:ext cx="24765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2"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3"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4"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5"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6"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7"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8"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69"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0"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1"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2"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3"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4"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5"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6"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7"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8"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79"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0"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1"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2"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3"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4"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5"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6"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7"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8"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89"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0"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1"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2"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3"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4"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5"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6"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7"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8"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599"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0"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1"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2"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3"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4"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5"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6"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7"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8"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09"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0"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1"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2"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3"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4"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5"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6"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7"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8"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19"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0"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1"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2"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3"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4"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5"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6"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7"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8"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29"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0"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1"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2"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3"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4"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5"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6"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7"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8"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39"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0"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1"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2"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3"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4"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5"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6"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7"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8"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49"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0"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1"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2"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3"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4"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5"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6"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7"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8"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59"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0"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1"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2"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3"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4" name="Text Box 241"/>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5" name="Text Box 242"/>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6" name="Text Box 243"/>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7" name="Text Box 244"/>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8" name="Text Box 245"/>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17</xdr:col>
      <xdr:colOff>447675</xdr:colOff>
      <xdr:row>191</xdr:row>
      <xdr:rowOff>0</xdr:rowOff>
    </xdr:from>
    <xdr:to>
      <xdr:col>37</xdr:col>
      <xdr:colOff>238125</xdr:colOff>
      <xdr:row>191</xdr:row>
      <xdr:rowOff>19050</xdr:rowOff>
    </xdr:to>
    <xdr:sp>
      <xdr:nvSpPr>
        <xdr:cNvPr id="86669" name="Text Box 246"/>
        <xdr:cNvSpPr txBox="1">
          <a:spLocks noChangeArrowheads="1"/>
        </xdr:cNvSpPr>
      </xdr:nvSpPr>
      <xdr:spPr>
        <a:xfrm>
          <a:off x="11906250" y="160413065"/>
          <a:ext cx="365760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dc\&#37325;&#22823;&#22788;&#25991;&#20214;&#20849;&#20139;\Documents%20and%20Settings\Lenovo\Local%20Settings\Temporary%20Internet%20Files\Content.IE5\KHMJSTYN\&#21313;&#20108;&#20116;&#35268;&#21010;\&#27700;&#31649;&#23616;&#19978;&#25253;&#29256;&#65288;&#27827;&#36947;&#31185;+&#24037;&#31243;&#31185;&#65289;\&#21313;&#20108;&#20116;&#25253;&#34920;&#22635;&#25253;&#31995;&#32479;0625&#27700;&#31649;&#23616;&#27827;&#36947;&#31185;&#37096;&#2099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dc\&#37325;&#22823;&#22788;&#25991;&#20214;&#20849;&#20139;\&#40644;&#24535;&#21018;\2010&#24180;\&#25253;&#36865;&#24191;&#35199;&#22823;&#27743;&#22823;&#27827;&#20027;&#35201;&#25903;&#27969;&#21450;&#20013;&#23567;&#27827;&#27969;&#27835;&#29702;&#24773;&#20917;&#24037;&#20316;\&#24191;&#35199;&#25152;&#26377;&#24037;&#31243;&#65288;20100611&#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打印格式(1)"/>
      <sheetName val="打印格式(2)"/>
      <sheetName val="打印格式(3)"/>
      <sheetName val="打印格式(4)"/>
      <sheetName val="附表1-1续建"/>
      <sheetName val="续建项目汇总表"/>
      <sheetName val="附表1-2拟建"/>
      <sheetName val="拟建项目汇总表"/>
      <sheetName val="附表1-3储备"/>
      <sheetName val="储备项目汇总表"/>
      <sheetName val="附表1-4专项规划"/>
      <sheetName val="专项项目汇总表"/>
      <sheetName val="附表2-1续建项目竣工表"/>
      <sheetName val="附表2-2拟建项目开工表"/>
      <sheetName val="附表2-3拟建项目竣工表"/>
      <sheetName val="全国汇总"/>
      <sheetName val="全国汇总结果图形分析"/>
      <sheetName val="全国汇总 (2)结果图形分析"/>
      <sheetName val="流域汇总"/>
      <sheetName val="地方汇总"/>
      <sheetName val="全国汇总 (2)"/>
      <sheetName val="流域汇总 (2)"/>
      <sheetName val="流域汇总 (2)结果图形分析"/>
      <sheetName val="流域汇总结果图形分析"/>
      <sheetName val="地方汇总结果图形分析"/>
      <sheetName val="地方汇总 (2)结果图形分析"/>
      <sheetName val="地方汇总 (2)"/>
      <sheetName val="附录1项目及投资分类"/>
      <sheetName val="附录1项目及投资分类 (2)"/>
      <sheetName val="附录2规划依据参考目录"/>
      <sheetName val="附录3重点项目简介编制目录"/>
      <sheetName val="附录4国家重点区域"/>
      <sheetName val="附录5重点项目排序申报表"/>
      <sheetName val="基本元素"/>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1（录入）"/>
      <sheetName val="项目录入表"/>
      <sheetName val="河流录入表"/>
      <sheetName val="汇总附表2"/>
      <sheetName val="汇总附表3"/>
      <sheetName val="汇总附表4"/>
      <sheetName val="汇总附表5"/>
      <sheetName val="省级汇总附表6"/>
      <sheetName val="打印河流卡片"/>
      <sheetName val="打印项目卡片"/>
      <sheetName val="基础选项（保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BN217"/>
  <sheetViews>
    <sheetView showZeros="0" tabSelected="1" zoomScale="70" zoomScaleNormal="70" workbookViewId="0">
      <selection activeCell="AT1" sqref="AT$1:AT$1048576"/>
    </sheetView>
  </sheetViews>
  <sheetFormatPr defaultColWidth="9" defaultRowHeight="12"/>
  <cols>
    <col min="1" max="1" width="8.14285714285714" style="4" customWidth="1"/>
    <col min="2" max="2" width="20.7142857142857" style="4" customWidth="1"/>
    <col min="3" max="3" width="6.71428571428571" style="612" customWidth="1"/>
    <col min="4" max="4" width="30.7142857142857" style="4" customWidth="1"/>
    <col min="5" max="5" width="8.71428571428571" style="4" customWidth="1"/>
    <col min="6" max="7" width="12.7142857142857" style="4" customWidth="1"/>
    <col min="8" max="13" width="10.7142857142857" style="4" customWidth="1"/>
    <col min="14" max="14" width="23.5714285714286" style="4" customWidth="1"/>
    <col min="15" max="25" width="9.14285714285714" style="4" hidden="1" customWidth="1"/>
    <col min="26" max="26" width="8.57142857142857" style="4" hidden="1" customWidth="1"/>
    <col min="27" max="27" width="8.14285714285714" style="4" hidden="1" customWidth="1"/>
    <col min="28" max="28" width="7.28571428571429" style="4" hidden="1" customWidth="1"/>
    <col min="29" max="29" width="7.42857142857143" style="4" hidden="1" customWidth="1"/>
    <col min="30" max="30" width="6.85714285714286" style="4" hidden="1" customWidth="1"/>
    <col min="31" max="31" width="7.28571428571429" style="4" hidden="1" customWidth="1"/>
    <col min="32" max="33" width="6.28571428571429" style="4" hidden="1" customWidth="1"/>
    <col min="34" max="34" width="6.57142857142857" style="4" hidden="1" customWidth="1"/>
    <col min="35" max="35" width="7" style="4" hidden="1" customWidth="1"/>
    <col min="36" max="36" width="6" style="4" hidden="1" customWidth="1"/>
    <col min="37" max="37" width="7" style="4" hidden="1" customWidth="1"/>
    <col min="38" max="38" width="8.42857142857143" style="4" hidden="1" customWidth="1"/>
    <col min="39" max="39" width="7.71428571428571" style="4" hidden="1" customWidth="1"/>
    <col min="40" max="40" width="6" style="4" hidden="1" customWidth="1"/>
    <col min="41" max="41" width="10.1428571428571" style="4" hidden="1" customWidth="1"/>
    <col min="42" max="42" width="11.4285714285714" style="4" hidden="1" customWidth="1"/>
    <col min="43" max="43" width="8" style="4" hidden="1" customWidth="1"/>
    <col min="44" max="44" width="16.1428571428571" style="4" hidden="1" customWidth="1"/>
    <col min="45" max="45" width="16.7142857142857" style="844" customWidth="1"/>
    <col min="46" max="46" width="12.2857142857143" style="844" customWidth="1"/>
    <col min="47" max="66" width="9.14285714285714" style="4" hidden="1" customWidth="1"/>
    <col min="67" max="16384" width="9.14285714285714" style="4"/>
  </cols>
  <sheetData>
    <row r="1" ht="25.15" customHeight="1" spans="1:66">
      <c r="A1" s="845" t="s">
        <v>0</v>
      </c>
      <c r="B1" s="845"/>
      <c r="C1" s="846"/>
      <c r="D1" s="846"/>
      <c r="E1" s="846"/>
      <c r="F1" s="846"/>
      <c r="G1" s="846"/>
      <c r="H1" s="846"/>
      <c r="I1" s="846"/>
      <c r="J1" s="846"/>
      <c r="K1" s="846"/>
      <c r="L1" s="846"/>
      <c r="M1" s="846"/>
      <c r="N1" s="846"/>
      <c r="O1" s="542"/>
      <c r="P1" s="542"/>
      <c r="Q1" s="542"/>
      <c r="R1" s="542"/>
      <c r="S1" s="542"/>
      <c r="T1" s="542"/>
      <c r="U1" s="542"/>
      <c r="V1" s="542"/>
      <c r="W1" s="542"/>
      <c r="X1" s="542"/>
      <c r="Y1" s="542"/>
      <c r="Z1" s="568"/>
      <c r="AA1" s="568"/>
      <c r="AB1" s="568"/>
      <c r="AC1" s="568"/>
      <c r="AD1" s="568"/>
      <c r="AE1" s="568"/>
      <c r="AF1" s="568"/>
      <c r="AG1" s="568"/>
      <c r="AH1" s="568"/>
      <c r="AI1" s="568"/>
      <c r="AJ1" s="568"/>
      <c r="AK1" s="568"/>
      <c r="AL1" s="568"/>
      <c r="AM1" s="568"/>
      <c r="AN1" s="568"/>
      <c r="AO1" s="568"/>
      <c r="AP1" s="568"/>
      <c r="AQ1" s="542"/>
      <c r="AR1" s="568"/>
      <c r="AS1" s="537"/>
      <c r="AT1" s="864"/>
      <c r="AU1" s="749"/>
      <c r="AV1" s="201"/>
      <c r="AW1" s="6"/>
      <c r="AX1" s="6"/>
      <c r="AY1" s="6"/>
      <c r="AZ1" s="6"/>
      <c r="BA1" s="203"/>
      <c r="BB1" s="201"/>
      <c r="BC1" s="201"/>
      <c r="BD1" s="201"/>
      <c r="BE1" s="201"/>
      <c r="BF1" s="201"/>
      <c r="BG1" s="201"/>
      <c r="BH1" s="7"/>
      <c r="BI1" s="201"/>
      <c r="BJ1" s="201"/>
      <c r="BK1" s="201"/>
      <c r="BL1" s="599"/>
      <c r="BM1" s="599"/>
      <c r="BN1" s="599"/>
    </row>
    <row r="2" ht="70.5" customHeight="1" spans="1:66">
      <c r="A2" s="828" t="s">
        <v>1</v>
      </c>
      <c r="B2" s="828"/>
      <c r="C2" s="828"/>
      <c r="D2" s="828"/>
      <c r="E2" s="828"/>
      <c r="F2" s="828"/>
      <c r="G2" s="828"/>
      <c r="H2" s="828"/>
      <c r="I2" s="828"/>
      <c r="J2" s="828"/>
      <c r="K2" s="828"/>
      <c r="L2" s="828"/>
      <c r="M2" s="828"/>
      <c r="N2" s="828"/>
      <c r="O2" s="543"/>
      <c r="P2" s="543"/>
      <c r="Q2" s="543"/>
      <c r="R2" s="543"/>
      <c r="S2" s="543"/>
      <c r="T2" s="543"/>
      <c r="U2" s="543"/>
      <c r="V2" s="543"/>
      <c r="W2" s="543"/>
      <c r="X2" s="751"/>
      <c r="Y2" s="751"/>
      <c r="Z2" s="751"/>
      <c r="AA2" s="751"/>
      <c r="AB2" s="751"/>
      <c r="AC2" s="751"/>
      <c r="AD2" s="751"/>
      <c r="AE2" s="751"/>
      <c r="AF2" s="751"/>
      <c r="AG2" s="751"/>
      <c r="AH2" s="751"/>
      <c r="AI2" s="751"/>
      <c r="AJ2" s="751"/>
      <c r="AK2" s="751"/>
      <c r="AL2" s="751"/>
      <c r="AM2" s="751"/>
      <c r="AN2" s="751"/>
      <c r="AO2" s="751"/>
      <c r="AP2" s="751"/>
      <c r="AQ2" s="751"/>
      <c r="AR2" s="751"/>
      <c r="AS2" s="828"/>
      <c r="AT2" s="865"/>
      <c r="AU2" s="751"/>
      <c r="AV2" s="571"/>
      <c r="AW2" s="597"/>
      <c r="AX2" s="598"/>
      <c r="AY2" s="598"/>
      <c r="AZ2" s="598"/>
      <c r="BA2" s="605"/>
      <c r="BB2" s="599"/>
      <c r="BC2" s="201"/>
      <c r="BD2" s="599"/>
      <c r="BE2" s="599"/>
      <c r="BF2" s="599"/>
      <c r="BG2" s="599"/>
      <c r="BI2" s="201"/>
      <c r="BJ2" s="201"/>
      <c r="BK2" s="201"/>
      <c r="BL2" s="599"/>
      <c r="BM2" s="599"/>
      <c r="BN2" s="599"/>
    </row>
    <row r="3" s="9" customFormat="1" ht="20.65" customHeight="1" spans="1:66">
      <c r="A3" s="545"/>
      <c r="B3" s="546"/>
      <c r="C3" s="547"/>
      <c r="D3" s="662"/>
      <c r="E3" s="547"/>
      <c r="F3" s="549"/>
      <c r="G3" s="549"/>
      <c r="H3" s="550"/>
      <c r="I3" s="550"/>
      <c r="J3" s="550"/>
      <c r="K3" s="550"/>
      <c r="L3" s="550"/>
      <c r="M3" s="550"/>
      <c r="N3" s="677"/>
      <c r="O3" s="572" t="s">
        <v>2</v>
      </c>
      <c r="P3" s="550" t="s">
        <v>2</v>
      </c>
      <c r="Q3" s="550"/>
      <c r="R3" s="550"/>
      <c r="S3" s="550"/>
      <c r="T3" s="550"/>
      <c r="U3" s="550"/>
      <c r="V3" s="550"/>
      <c r="W3" s="550"/>
      <c r="X3" s="673"/>
      <c r="Y3" s="673"/>
      <c r="Z3" s="677"/>
      <c r="AA3" s="677"/>
      <c r="AB3" s="677"/>
      <c r="AC3" s="677"/>
      <c r="AD3" s="677"/>
      <c r="AE3" s="677"/>
      <c r="AF3" s="677"/>
      <c r="AG3" s="677"/>
      <c r="AH3" s="677"/>
      <c r="AI3" s="677"/>
      <c r="AJ3" s="677"/>
      <c r="AK3" s="677"/>
      <c r="AL3" s="677"/>
      <c r="AM3" s="677"/>
      <c r="AN3" s="677"/>
      <c r="AO3" s="677"/>
      <c r="AP3" s="677"/>
      <c r="AQ3" s="550" t="s">
        <v>2</v>
      </c>
      <c r="AR3" s="677"/>
      <c r="AS3" s="587" t="s">
        <v>3</v>
      </c>
      <c r="AT3" s="866"/>
      <c r="AU3" s="772"/>
      <c r="AV3" s="10"/>
      <c r="AW3" s="10" t="s">
        <v>4</v>
      </c>
      <c r="AX3" s="10" t="s">
        <v>4</v>
      </c>
      <c r="AY3" s="10" t="s">
        <v>4</v>
      </c>
      <c r="AZ3" s="10"/>
      <c r="BA3" s="10" t="s">
        <v>4</v>
      </c>
      <c r="BB3" s="10" t="s">
        <v>4</v>
      </c>
      <c r="BC3" s="10" t="s">
        <v>4</v>
      </c>
      <c r="BD3" s="10" t="s">
        <v>4</v>
      </c>
      <c r="BE3" s="10" t="s">
        <v>4</v>
      </c>
      <c r="BF3" s="10" t="s">
        <v>4</v>
      </c>
      <c r="BG3" s="10" t="s">
        <v>4</v>
      </c>
      <c r="BH3" s="10" t="s">
        <v>4</v>
      </c>
      <c r="BI3" s="10"/>
      <c r="BJ3" s="10"/>
      <c r="BK3" s="10"/>
      <c r="BL3" s="600"/>
      <c r="BM3" s="600"/>
      <c r="BN3" s="201"/>
    </row>
    <row r="4" s="843" customFormat="1" ht="27.95" customHeight="1" spans="1:66">
      <c r="A4" s="847" t="s">
        <v>5</v>
      </c>
      <c r="B4" s="847" t="s">
        <v>6</v>
      </c>
      <c r="C4" s="847" t="s">
        <v>7</v>
      </c>
      <c r="D4" s="847" t="s">
        <v>8</v>
      </c>
      <c r="E4" s="848" t="s">
        <v>9</v>
      </c>
      <c r="F4" s="849" t="s">
        <v>10</v>
      </c>
      <c r="G4" s="850" t="s">
        <v>11</v>
      </c>
      <c r="H4" s="850" t="s">
        <v>12</v>
      </c>
      <c r="I4" s="850"/>
      <c r="J4" s="850"/>
      <c r="K4" s="850"/>
      <c r="L4" s="850"/>
      <c r="M4" s="850"/>
      <c r="N4" s="850"/>
      <c r="O4" s="265" t="s">
        <v>13</v>
      </c>
      <c r="P4" s="265"/>
      <c r="Q4" s="763" t="s">
        <v>14</v>
      </c>
      <c r="R4" s="764"/>
      <c r="S4" s="764"/>
      <c r="T4" s="764"/>
      <c r="U4" s="764"/>
      <c r="V4" s="764"/>
      <c r="W4" s="764"/>
      <c r="X4" s="765" t="s">
        <v>15</v>
      </c>
      <c r="Y4" s="99" t="s">
        <v>16</v>
      </c>
      <c r="Z4" s="330" t="s">
        <v>17</v>
      </c>
      <c r="AA4" s="330"/>
      <c r="AB4" s="330"/>
      <c r="AC4" s="330" t="s">
        <v>18</v>
      </c>
      <c r="AD4" s="330"/>
      <c r="AE4" s="330"/>
      <c r="AF4" s="330" t="s">
        <v>19</v>
      </c>
      <c r="AG4" s="330"/>
      <c r="AH4" s="330"/>
      <c r="AI4" s="330" t="s">
        <v>20</v>
      </c>
      <c r="AJ4" s="330"/>
      <c r="AK4" s="330"/>
      <c r="AL4" s="330" t="s">
        <v>21</v>
      </c>
      <c r="AM4" s="330"/>
      <c r="AN4" s="330"/>
      <c r="AO4" s="330"/>
      <c r="AP4" s="330"/>
      <c r="AQ4" s="99" t="s">
        <v>22</v>
      </c>
      <c r="AR4" s="99" t="s">
        <v>23</v>
      </c>
      <c r="AS4" s="867" t="s">
        <v>24</v>
      </c>
      <c r="AT4" s="916" t="s">
        <v>25</v>
      </c>
      <c r="AU4" s="145" t="s">
        <v>26</v>
      </c>
      <c r="AV4" s="601" t="s">
        <v>27</v>
      </c>
      <c r="AW4" s="601" t="s">
        <v>28</v>
      </c>
      <c r="AX4" s="601" t="s">
        <v>29</v>
      </c>
      <c r="AY4" s="601" t="s">
        <v>30</v>
      </c>
      <c r="AZ4" s="601" t="s">
        <v>31</v>
      </c>
      <c r="BA4" s="607" t="s">
        <v>32</v>
      </c>
      <c r="BB4" s="165" t="s">
        <v>33</v>
      </c>
      <c r="BC4" s="157" t="s">
        <v>34</v>
      </c>
      <c r="BD4" s="608" t="s">
        <v>35</v>
      </c>
      <c r="BE4" s="609" t="s">
        <v>35</v>
      </c>
      <c r="BF4" s="610"/>
      <c r="BG4" s="617"/>
      <c r="BH4" s="202" t="s">
        <v>36</v>
      </c>
      <c r="BI4" s="157" t="s">
        <v>37</v>
      </c>
      <c r="BJ4" s="157" t="s">
        <v>38</v>
      </c>
      <c r="BK4" s="157" t="s">
        <v>39</v>
      </c>
      <c r="BL4" s="624" t="s">
        <v>40</v>
      </c>
      <c r="BM4" s="600" t="s">
        <v>41</v>
      </c>
      <c r="BN4" s="781" t="s">
        <v>42</v>
      </c>
    </row>
    <row r="5" s="843" customFormat="1" ht="48" customHeight="1" spans="1:66">
      <c r="A5" s="847"/>
      <c r="B5" s="847"/>
      <c r="C5" s="847"/>
      <c r="D5" s="847"/>
      <c r="E5" s="848"/>
      <c r="F5" s="849"/>
      <c r="G5" s="850"/>
      <c r="H5" s="850" t="s">
        <v>43</v>
      </c>
      <c r="I5" s="850" t="s">
        <v>44</v>
      </c>
      <c r="J5" s="850" t="s">
        <v>45</v>
      </c>
      <c r="K5" s="850" t="s">
        <v>46</v>
      </c>
      <c r="L5" s="850" t="s">
        <v>47</v>
      </c>
      <c r="M5" s="850" t="s">
        <v>48</v>
      </c>
      <c r="N5" s="850" t="s">
        <v>49</v>
      </c>
      <c r="O5" s="576" t="s">
        <v>50</v>
      </c>
      <c r="P5" s="265" t="s">
        <v>51</v>
      </c>
      <c r="Q5" s="730" t="s">
        <v>52</v>
      </c>
      <c r="R5" s="730" t="s">
        <v>53</v>
      </c>
      <c r="S5" s="730" t="s">
        <v>54</v>
      </c>
      <c r="T5" s="730" t="s">
        <v>55</v>
      </c>
      <c r="U5" s="730" t="s">
        <v>56</v>
      </c>
      <c r="V5" s="730" t="s">
        <v>57</v>
      </c>
      <c r="W5" s="914" t="s">
        <v>58</v>
      </c>
      <c r="X5" s="768"/>
      <c r="Y5" s="99"/>
      <c r="Z5" s="915" t="s">
        <v>59</v>
      </c>
      <c r="AA5" s="915" t="s">
        <v>60</v>
      </c>
      <c r="AB5" s="915" t="s">
        <v>61</v>
      </c>
      <c r="AC5" s="915" t="s">
        <v>62</v>
      </c>
      <c r="AD5" s="915" t="s">
        <v>63</v>
      </c>
      <c r="AE5" s="915" t="s">
        <v>61</v>
      </c>
      <c r="AF5" s="915" t="s">
        <v>64</v>
      </c>
      <c r="AG5" s="915" t="s">
        <v>65</v>
      </c>
      <c r="AH5" s="915" t="s">
        <v>61</v>
      </c>
      <c r="AI5" s="915" t="s">
        <v>66</v>
      </c>
      <c r="AJ5" s="915" t="s">
        <v>67</v>
      </c>
      <c r="AK5" s="915" t="s">
        <v>68</v>
      </c>
      <c r="AL5" s="915" t="s">
        <v>69</v>
      </c>
      <c r="AM5" s="915" t="s">
        <v>70</v>
      </c>
      <c r="AN5" s="915" t="s">
        <v>71</v>
      </c>
      <c r="AO5" s="915" t="s">
        <v>72</v>
      </c>
      <c r="AP5" s="915" t="s">
        <v>73</v>
      </c>
      <c r="AQ5" s="99"/>
      <c r="AR5" s="99"/>
      <c r="AS5" s="867"/>
      <c r="AT5" s="917"/>
      <c r="AU5" s="145"/>
      <c r="AV5" s="601"/>
      <c r="AW5" s="601"/>
      <c r="AX5" s="601"/>
      <c r="AY5" s="601"/>
      <c r="AZ5" s="601"/>
      <c r="BA5" s="607"/>
      <c r="BB5" s="165"/>
      <c r="BC5" s="157"/>
      <c r="BD5" s="611"/>
      <c r="BE5" s="157" t="s">
        <v>74</v>
      </c>
      <c r="BF5" s="157" t="s">
        <v>75</v>
      </c>
      <c r="BG5" s="157"/>
      <c r="BH5" s="202"/>
      <c r="BI5" s="611"/>
      <c r="BJ5" s="157"/>
      <c r="BK5" s="157"/>
      <c r="BL5" s="624"/>
      <c r="BM5" s="600"/>
      <c r="BN5" s="781"/>
    </row>
    <row r="6" s="529" customFormat="1" ht="20.25" hidden="1" customHeight="1" spans="1:66">
      <c r="A6" s="551"/>
      <c r="B6" s="554"/>
      <c r="C6" s="551"/>
      <c r="D6" s="554"/>
      <c r="E6" s="552"/>
      <c r="F6" s="134"/>
      <c r="G6" s="134"/>
      <c r="H6" s="265"/>
      <c r="I6" s="265"/>
      <c r="J6" s="265"/>
      <c r="K6" s="265"/>
      <c r="L6" s="265"/>
      <c r="M6" s="265"/>
      <c r="N6" s="664"/>
      <c r="O6" s="576"/>
      <c r="P6" s="265"/>
      <c r="Q6" s="265"/>
      <c r="R6" s="265"/>
      <c r="S6" s="265"/>
      <c r="T6" s="265"/>
      <c r="U6" s="265"/>
      <c r="V6" s="265"/>
      <c r="W6" s="265"/>
      <c r="X6" s="585"/>
      <c r="Y6" s="585"/>
      <c r="Z6" s="577"/>
      <c r="AA6" s="577"/>
      <c r="AB6" s="577"/>
      <c r="AC6" s="577"/>
      <c r="AD6" s="577"/>
      <c r="AE6" s="577"/>
      <c r="AF6" s="577"/>
      <c r="AG6" s="577"/>
      <c r="AH6" s="577"/>
      <c r="AI6" s="577"/>
      <c r="AJ6" s="577"/>
      <c r="AK6" s="577"/>
      <c r="AL6" s="577"/>
      <c r="AM6" s="577"/>
      <c r="AN6" s="577"/>
      <c r="AO6" s="577"/>
      <c r="AP6" s="577"/>
      <c r="AQ6" s="585"/>
      <c r="AR6" s="577"/>
      <c r="AS6" s="590"/>
      <c r="AT6" s="145"/>
      <c r="AU6" s="773"/>
      <c r="AV6" s="604"/>
      <c r="AW6" s="601"/>
      <c r="AX6" s="601"/>
      <c r="AY6" s="601"/>
      <c r="AZ6" s="601"/>
      <c r="BA6" s="607"/>
      <c r="BB6" s="165"/>
      <c r="BC6" s="157"/>
      <c r="BD6" s="157"/>
      <c r="BE6" s="157"/>
      <c r="BF6" s="157"/>
      <c r="BG6" s="157"/>
      <c r="BH6" s="604"/>
      <c r="BI6" s="157"/>
      <c r="BJ6" s="157"/>
      <c r="BK6" s="157"/>
      <c r="BL6" s="600"/>
      <c r="BM6" s="600"/>
      <c r="BN6" s="201"/>
    </row>
    <row r="7" s="9" customFormat="1" ht="30" customHeight="1" spans="1:66">
      <c r="A7" s="753" t="str">
        <f>"合计（"&amp;SUBTOTAL(3,C11:C217)&amp;"个）"</f>
        <v>合计（169个）</v>
      </c>
      <c r="B7" s="753"/>
      <c r="C7" s="753"/>
      <c r="D7" s="753"/>
      <c r="E7" s="754"/>
      <c r="F7" s="134">
        <f t="shared" ref="F7:M7" si="0">F8+F100+F167</f>
        <v>16894510.22</v>
      </c>
      <c r="G7" s="134">
        <f t="shared" si="0"/>
        <v>1176119</v>
      </c>
      <c r="H7" s="134"/>
      <c r="I7" s="134">
        <f t="shared" si="0"/>
        <v>194613</v>
      </c>
      <c r="J7" s="134">
        <f t="shared" si="0"/>
        <v>561937</v>
      </c>
      <c r="K7" s="134">
        <f t="shared" si="0"/>
        <v>1023852</v>
      </c>
      <c r="L7" s="134">
        <f t="shared" si="0"/>
        <v>1793173</v>
      </c>
      <c r="M7" s="134">
        <f t="shared" si="0"/>
        <v>371900</v>
      </c>
      <c r="N7" s="591"/>
      <c r="O7" s="133"/>
      <c r="P7" s="134"/>
      <c r="Q7" s="37"/>
      <c r="R7" s="37"/>
      <c r="S7" s="37"/>
      <c r="T7" s="37"/>
      <c r="U7" s="37"/>
      <c r="V7" s="37"/>
      <c r="W7" s="37"/>
      <c r="X7" s="585"/>
      <c r="Y7" s="585"/>
      <c r="Z7" s="134" t="e">
        <f t="shared" ref="Z7:AP7" si="1">Z8+Z100+Z167</f>
        <v>#REF!</v>
      </c>
      <c r="AA7" s="134" t="e">
        <f t="shared" si="1"/>
        <v>#REF!</v>
      </c>
      <c r="AB7" s="134" t="e">
        <f t="shared" si="1"/>
        <v>#REF!</v>
      </c>
      <c r="AC7" s="134" t="e">
        <f t="shared" si="1"/>
        <v>#REF!</v>
      </c>
      <c r="AD7" s="134" t="e">
        <f t="shared" si="1"/>
        <v>#REF!</v>
      </c>
      <c r="AE7" s="134" t="e">
        <f t="shared" si="1"/>
        <v>#REF!</v>
      </c>
      <c r="AF7" s="134" t="e">
        <f t="shared" si="1"/>
        <v>#REF!</v>
      </c>
      <c r="AG7" s="134" t="e">
        <f t="shared" si="1"/>
        <v>#REF!</v>
      </c>
      <c r="AH7" s="134" t="e">
        <f t="shared" si="1"/>
        <v>#REF!</v>
      </c>
      <c r="AI7" s="134" t="e">
        <f t="shared" si="1"/>
        <v>#REF!</v>
      </c>
      <c r="AJ7" s="134" t="e">
        <f t="shared" si="1"/>
        <v>#REF!</v>
      </c>
      <c r="AK7" s="134" t="e">
        <f t="shared" si="1"/>
        <v>#REF!</v>
      </c>
      <c r="AL7" s="134" t="e">
        <f t="shared" si="1"/>
        <v>#REF!</v>
      </c>
      <c r="AM7" s="134" t="e">
        <f t="shared" si="1"/>
        <v>#REF!</v>
      </c>
      <c r="AN7" s="134" t="e">
        <f t="shared" si="1"/>
        <v>#REF!</v>
      </c>
      <c r="AO7" s="134" t="e">
        <f t="shared" si="1"/>
        <v>#REF!</v>
      </c>
      <c r="AP7" s="134" t="e">
        <f t="shared" si="1"/>
        <v>#REF!</v>
      </c>
      <c r="AQ7" s="585"/>
      <c r="AR7" s="577"/>
      <c r="AS7" s="774"/>
      <c r="AT7" s="774"/>
      <c r="AU7" s="171"/>
      <c r="AV7" s="165"/>
      <c r="AW7" s="161"/>
      <c r="AX7" s="161"/>
      <c r="AY7" s="161"/>
      <c r="AZ7" s="161"/>
      <c r="BA7" s="169"/>
      <c r="BB7" s="165"/>
      <c r="BC7" s="165"/>
      <c r="BD7" s="165"/>
      <c r="BE7" s="169"/>
      <c r="BF7" s="169"/>
      <c r="BG7" s="169"/>
      <c r="BI7" s="165"/>
      <c r="BJ7" s="157"/>
      <c r="BK7" s="157"/>
      <c r="BN7" s="7"/>
    </row>
    <row r="8" s="9" customFormat="1" ht="30" customHeight="1" spans="1:66">
      <c r="A8" s="753" t="s">
        <v>76</v>
      </c>
      <c r="B8" s="755" t="str">
        <f>"计划新开工项目（"&amp;SUBTOTAL(3,C11:C99)&amp;"个）"</f>
        <v>计划新开工项目（80个）</v>
      </c>
      <c r="C8" s="755"/>
      <c r="D8" s="755"/>
      <c r="E8" s="754"/>
      <c r="F8" s="134">
        <f t="shared" ref="F8:M8" si="2">F9+F72+F79</f>
        <v>12587929.22</v>
      </c>
      <c r="G8" s="134">
        <f t="shared" si="2"/>
        <v>0</v>
      </c>
      <c r="H8" s="134"/>
      <c r="I8" s="134">
        <f t="shared" si="2"/>
        <v>27260</v>
      </c>
      <c r="J8" s="134">
        <f t="shared" si="2"/>
        <v>143450</v>
      </c>
      <c r="K8" s="134">
        <f t="shared" si="2"/>
        <v>365205</v>
      </c>
      <c r="L8" s="134">
        <f t="shared" si="2"/>
        <v>942350</v>
      </c>
      <c r="M8" s="134">
        <f t="shared" si="2"/>
        <v>21000</v>
      </c>
      <c r="N8" s="591"/>
      <c r="O8" s="133"/>
      <c r="P8" s="134"/>
      <c r="Q8" s="37"/>
      <c r="R8" s="37"/>
      <c r="S8" s="37"/>
      <c r="T8" s="37"/>
      <c r="U8" s="37"/>
      <c r="V8" s="37"/>
      <c r="W8" s="37"/>
      <c r="X8" s="585"/>
      <c r="Y8" s="585"/>
      <c r="Z8" s="134" t="e">
        <f t="shared" ref="Z8:AP8" si="3">Z9+Z72+Z79</f>
        <v>#REF!</v>
      </c>
      <c r="AA8" s="134" t="e">
        <f t="shared" si="3"/>
        <v>#REF!</v>
      </c>
      <c r="AB8" s="134" t="e">
        <f t="shared" si="3"/>
        <v>#REF!</v>
      </c>
      <c r="AC8" s="134" t="e">
        <f t="shared" si="3"/>
        <v>#REF!</v>
      </c>
      <c r="AD8" s="134" t="e">
        <f t="shared" si="3"/>
        <v>#REF!</v>
      </c>
      <c r="AE8" s="134" t="e">
        <f t="shared" si="3"/>
        <v>#REF!</v>
      </c>
      <c r="AF8" s="134" t="e">
        <f t="shared" si="3"/>
        <v>#REF!</v>
      </c>
      <c r="AG8" s="134" t="e">
        <f t="shared" si="3"/>
        <v>#REF!</v>
      </c>
      <c r="AH8" s="134" t="e">
        <f t="shared" si="3"/>
        <v>#REF!</v>
      </c>
      <c r="AI8" s="134" t="e">
        <f t="shared" si="3"/>
        <v>#REF!</v>
      </c>
      <c r="AJ8" s="134" t="e">
        <f t="shared" si="3"/>
        <v>#REF!</v>
      </c>
      <c r="AK8" s="134" t="e">
        <f t="shared" si="3"/>
        <v>#REF!</v>
      </c>
      <c r="AL8" s="134" t="e">
        <f t="shared" si="3"/>
        <v>#REF!</v>
      </c>
      <c r="AM8" s="134" t="e">
        <f t="shared" si="3"/>
        <v>#REF!</v>
      </c>
      <c r="AN8" s="134" t="e">
        <f t="shared" si="3"/>
        <v>#REF!</v>
      </c>
      <c r="AO8" s="134" t="e">
        <f t="shared" si="3"/>
        <v>#REF!</v>
      </c>
      <c r="AP8" s="134" t="e">
        <f t="shared" si="3"/>
        <v>#REF!</v>
      </c>
      <c r="AQ8" s="585"/>
      <c r="AR8" s="577"/>
      <c r="AS8" s="774"/>
      <c r="AT8" s="774"/>
      <c r="AU8" s="171"/>
      <c r="AV8" s="165"/>
      <c r="AW8" s="161"/>
      <c r="AX8" s="161"/>
      <c r="AY8" s="161"/>
      <c r="AZ8" s="161"/>
      <c r="BA8" s="169"/>
      <c r="BB8" s="165"/>
      <c r="BC8" s="165"/>
      <c r="BD8" s="165"/>
      <c r="BE8" s="169"/>
      <c r="BF8" s="169"/>
      <c r="BG8" s="169"/>
      <c r="BI8" s="165"/>
      <c r="BJ8" s="157"/>
      <c r="BK8" s="157"/>
      <c r="BN8" s="7"/>
    </row>
    <row r="9" s="9" customFormat="1" ht="30" customHeight="1" spans="1:66">
      <c r="A9" s="551" t="s">
        <v>77</v>
      </c>
      <c r="B9" s="755" t="str">
        <f>"工业（"&amp;SUBTOTAL(3,C10:C71)&amp;"个）"</f>
        <v>工业（54个）</v>
      </c>
      <c r="C9" s="755"/>
      <c r="D9" s="755"/>
      <c r="E9" s="557"/>
      <c r="F9" s="134">
        <f t="shared" ref="F9:M9" si="4">F10+F64+F21+F25+F36+F61+F41+F52</f>
        <v>10875412</v>
      </c>
      <c r="G9" s="134">
        <f t="shared" si="4"/>
        <v>0</v>
      </c>
      <c r="H9" s="134"/>
      <c r="I9" s="134">
        <f t="shared" si="4"/>
        <v>20050</v>
      </c>
      <c r="J9" s="134">
        <f t="shared" si="4"/>
        <v>107200</v>
      </c>
      <c r="K9" s="134">
        <f t="shared" si="4"/>
        <v>267925</v>
      </c>
      <c r="L9" s="134">
        <f t="shared" si="4"/>
        <v>753350</v>
      </c>
      <c r="M9" s="134">
        <f t="shared" si="4"/>
        <v>21000</v>
      </c>
      <c r="N9" s="591"/>
      <c r="O9" s="133"/>
      <c r="P9" s="134"/>
      <c r="Q9" s="134"/>
      <c r="R9" s="134"/>
      <c r="S9" s="134"/>
      <c r="T9" s="134"/>
      <c r="U9" s="134"/>
      <c r="V9" s="134"/>
      <c r="W9" s="134"/>
      <c r="X9" s="90"/>
      <c r="Y9" s="90"/>
      <c r="Z9" s="134">
        <f t="shared" ref="Z9:AP9" si="5">Z10+Z64+Z21+Z25+Z36+Z61+Z41+Z52</f>
        <v>15614.456</v>
      </c>
      <c r="AA9" s="134">
        <f t="shared" si="5"/>
        <v>3295.456</v>
      </c>
      <c r="AB9" s="134">
        <f t="shared" si="5"/>
        <v>6600</v>
      </c>
      <c r="AC9" s="134">
        <f t="shared" si="5"/>
        <v>300</v>
      </c>
      <c r="AD9" s="134">
        <f t="shared" si="5"/>
        <v>50</v>
      </c>
      <c r="AE9" s="134">
        <f t="shared" si="5"/>
        <v>250</v>
      </c>
      <c r="AF9" s="134">
        <f t="shared" si="5"/>
        <v>0</v>
      </c>
      <c r="AG9" s="134">
        <f t="shared" si="5"/>
        <v>0</v>
      </c>
      <c r="AH9" s="134">
        <f t="shared" si="5"/>
        <v>0</v>
      </c>
      <c r="AI9" s="134">
        <f t="shared" si="5"/>
        <v>1879</v>
      </c>
      <c r="AJ9" s="134">
        <f t="shared" si="5"/>
        <v>505</v>
      </c>
      <c r="AK9" s="134">
        <f t="shared" si="5"/>
        <v>1374</v>
      </c>
      <c r="AL9" s="134">
        <f t="shared" si="5"/>
        <v>0</v>
      </c>
      <c r="AM9" s="134">
        <f t="shared" si="5"/>
        <v>0</v>
      </c>
      <c r="AN9" s="134">
        <f t="shared" si="5"/>
        <v>0</v>
      </c>
      <c r="AO9" s="134">
        <f t="shared" si="5"/>
        <v>152950</v>
      </c>
      <c r="AP9" s="134">
        <f t="shared" si="5"/>
        <v>59550</v>
      </c>
      <c r="AQ9" s="90"/>
      <c r="AR9" s="112"/>
      <c r="AS9" s="591"/>
      <c r="AT9" s="591"/>
      <c r="AU9" s="93"/>
      <c r="AV9" s="165"/>
      <c r="AW9" s="158"/>
      <c r="AX9" s="158"/>
      <c r="AY9" s="158"/>
      <c r="AZ9" s="158"/>
      <c r="BA9" s="169"/>
      <c r="BB9" s="165"/>
      <c r="BC9" s="165"/>
      <c r="BD9" s="165"/>
      <c r="BE9" s="169"/>
      <c r="BF9" s="169"/>
      <c r="BG9" s="169"/>
      <c r="BI9" s="165"/>
      <c r="BJ9" s="157"/>
      <c r="BK9" s="157"/>
      <c r="BN9" s="7"/>
    </row>
    <row r="10" s="9" customFormat="1" ht="22.5" hidden="1" customHeight="1" spans="1:66">
      <c r="A10" s="551"/>
      <c r="B10" s="908" t="str">
        <f>"钦州港（"&amp;SUBTOTAL(3,C11:C20)&amp;"个）"</f>
        <v>钦州港（10个）</v>
      </c>
      <c r="C10" s="909"/>
      <c r="D10" s="910"/>
      <c r="E10" s="551"/>
      <c r="F10" s="134">
        <f t="shared" ref="F10:M10" si="6">SUBTOTAL(9,F11:F20)</f>
        <v>7032343</v>
      </c>
      <c r="G10" s="134">
        <f t="shared" si="6"/>
        <v>0</v>
      </c>
      <c r="H10" s="134"/>
      <c r="I10" s="134">
        <f t="shared" si="6"/>
        <v>0</v>
      </c>
      <c r="J10" s="134">
        <f t="shared" si="6"/>
        <v>8500</v>
      </c>
      <c r="K10" s="134">
        <f t="shared" si="6"/>
        <v>36000</v>
      </c>
      <c r="L10" s="134">
        <f t="shared" si="6"/>
        <v>186000</v>
      </c>
      <c r="M10" s="134">
        <f t="shared" si="6"/>
        <v>0</v>
      </c>
      <c r="N10" s="134"/>
      <c r="O10" s="133"/>
      <c r="P10" s="134"/>
      <c r="Q10" s="134"/>
      <c r="R10" s="134"/>
      <c r="S10" s="134"/>
      <c r="T10" s="134"/>
      <c r="U10" s="134"/>
      <c r="V10" s="134"/>
      <c r="W10" s="134"/>
      <c r="X10" s="90"/>
      <c r="Y10" s="90"/>
      <c r="Z10" s="134">
        <f t="shared" ref="Z10:AP10" si="7">SUBTOTAL(9,Z11:Z20)</f>
        <v>6952</v>
      </c>
      <c r="AA10" s="134">
        <f t="shared" si="7"/>
        <v>411</v>
      </c>
      <c r="AB10" s="134">
        <f t="shared" si="7"/>
        <v>822</v>
      </c>
      <c r="AC10" s="134">
        <f t="shared" si="7"/>
        <v>0</v>
      </c>
      <c r="AD10" s="134">
        <f t="shared" si="7"/>
        <v>0</v>
      </c>
      <c r="AE10" s="134">
        <f t="shared" si="7"/>
        <v>0</v>
      </c>
      <c r="AF10" s="134">
        <f t="shared" si="7"/>
        <v>0</v>
      </c>
      <c r="AG10" s="134">
        <f t="shared" si="7"/>
        <v>0</v>
      </c>
      <c r="AH10" s="134">
        <f t="shared" si="7"/>
        <v>0</v>
      </c>
      <c r="AI10" s="134">
        <f t="shared" si="7"/>
        <v>0</v>
      </c>
      <c r="AJ10" s="134">
        <f t="shared" si="7"/>
        <v>0</v>
      </c>
      <c r="AK10" s="134">
        <f t="shared" si="7"/>
        <v>0</v>
      </c>
      <c r="AL10" s="134">
        <f t="shared" si="7"/>
        <v>0</v>
      </c>
      <c r="AM10" s="134">
        <f t="shared" si="7"/>
        <v>0</v>
      </c>
      <c r="AN10" s="134">
        <f t="shared" si="7"/>
        <v>0</v>
      </c>
      <c r="AO10" s="134">
        <f t="shared" si="7"/>
        <v>0</v>
      </c>
      <c r="AP10" s="134">
        <f t="shared" si="7"/>
        <v>0</v>
      </c>
      <c r="AQ10" s="90"/>
      <c r="AR10" s="112"/>
      <c r="AS10" s="591"/>
      <c r="AT10" s="134"/>
      <c r="AU10" s="93"/>
      <c r="AV10" s="165"/>
      <c r="AW10" s="158"/>
      <c r="AX10" s="158"/>
      <c r="AY10" s="158"/>
      <c r="AZ10" s="158"/>
      <c r="BA10" s="169"/>
      <c r="BB10" s="165"/>
      <c r="BC10" s="165"/>
      <c r="BD10" s="165"/>
      <c r="BE10" s="169"/>
      <c r="BF10" s="169"/>
      <c r="BG10" s="169"/>
      <c r="BH10" s="183" t="e">
        <f>"钦州港（"&amp;SUBTOTAL(3,#REF!)&amp;"个）"</f>
        <v>#REF!</v>
      </c>
      <c r="BI10" s="165"/>
      <c r="BJ10" s="157"/>
      <c r="BK10" s="157"/>
      <c r="BN10" s="7"/>
    </row>
    <row r="11" s="7" customFormat="1" ht="80.1" customHeight="1" spans="1:66">
      <c r="A11" s="23">
        <f>SUBTOTAL(3,C$11:C11)</f>
        <v>1</v>
      </c>
      <c r="B11" s="93" t="s">
        <v>78</v>
      </c>
      <c r="C11" s="23" t="s">
        <v>79</v>
      </c>
      <c r="D11" s="93" t="s">
        <v>80</v>
      </c>
      <c r="E11" s="92" t="s">
        <v>81</v>
      </c>
      <c r="F11" s="92">
        <v>3500000</v>
      </c>
      <c r="G11" s="92"/>
      <c r="H11" s="81" t="s">
        <v>82</v>
      </c>
      <c r="I11" s="81"/>
      <c r="J11" s="81"/>
      <c r="K11" s="81"/>
      <c r="L11" s="92">
        <v>60000</v>
      </c>
      <c r="M11" s="92"/>
      <c r="N11" s="91" t="s">
        <v>83</v>
      </c>
      <c r="O11" s="92"/>
      <c r="P11" s="92"/>
      <c r="Q11" s="552"/>
      <c r="R11" s="134"/>
      <c r="S11" s="552"/>
      <c r="T11" s="552"/>
      <c r="U11" s="552"/>
      <c r="V11" s="552"/>
      <c r="W11" s="552"/>
      <c r="X11" s="93" t="s">
        <v>84</v>
      </c>
      <c r="Y11" s="93" t="s">
        <v>85</v>
      </c>
      <c r="Z11" s="134">
        <v>3188</v>
      </c>
      <c r="AA11" s="134"/>
      <c r="AB11" s="134"/>
      <c r="AC11" s="134"/>
      <c r="AD11" s="134"/>
      <c r="AE11" s="134"/>
      <c r="AF11" s="134"/>
      <c r="AG11" s="134"/>
      <c r="AH11" s="134"/>
      <c r="AI11" s="134"/>
      <c r="AJ11" s="134"/>
      <c r="AK11" s="134"/>
      <c r="AL11" s="134"/>
      <c r="AM11" s="134"/>
      <c r="AN11" s="134"/>
      <c r="AO11" s="134"/>
      <c r="AP11" s="134"/>
      <c r="AQ11" s="92"/>
      <c r="AR11" s="91" t="s">
        <v>86</v>
      </c>
      <c r="AS11" s="91" t="s">
        <v>87</v>
      </c>
      <c r="AT11" s="91" t="s">
        <v>88</v>
      </c>
      <c r="AU11" s="93" t="s">
        <v>89</v>
      </c>
      <c r="AV11" s="157"/>
      <c r="AW11" s="158" t="s">
        <v>90</v>
      </c>
      <c r="AX11" s="158" t="s">
        <v>91</v>
      </c>
      <c r="AY11" s="158" t="str">
        <f t="shared" ref="AY11:AY20" si="8">AX11&amp;AW11</f>
        <v>工业钦州港</v>
      </c>
      <c r="AZ11" s="158" t="str">
        <f t="shared" ref="AZ11:AZ20" si="9">AX11</f>
        <v>工业</v>
      </c>
      <c r="BA11" s="161"/>
      <c r="BB11" s="160"/>
      <c r="BC11" s="157"/>
      <c r="BD11" s="157"/>
      <c r="BE11" s="157"/>
      <c r="BF11" s="157"/>
      <c r="BG11" s="157"/>
      <c r="BH11" s="181"/>
      <c r="BI11" s="157" t="str">
        <f t="shared" ref="BI11:BI19" si="10">AT11&amp;H11</f>
        <v>市石化产业发展局、钦州港区管委10月</v>
      </c>
      <c r="BJ11" s="157" t="s">
        <v>92</v>
      </c>
      <c r="BK11" s="157" t="s">
        <v>93</v>
      </c>
      <c r="BL11" s="201" t="str">
        <f t="shared" ref="BL11:BL19" si="11">BJ11&amp;AT11</f>
        <v>企业市石化产业发展局、钦州港区管委</v>
      </c>
      <c r="BM11" s="201" t="str">
        <f t="shared" ref="BM11:BM19" si="12">BK11&amp;AT11</f>
        <v>产业市石化产业发展局、钦州港区管委</v>
      </c>
      <c r="BN11" s="201"/>
    </row>
    <row r="12" s="7" customFormat="1" ht="114.75" customHeight="1" spans="1:66">
      <c r="A12" s="23">
        <f>SUBTOTAL(3,C$11:C12)</f>
        <v>2</v>
      </c>
      <c r="B12" s="93" t="s">
        <v>94</v>
      </c>
      <c r="C12" s="23" t="s">
        <v>79</v>
      </c>
      <c r="D12" s="93" t="s">
        <v>95</v>
      </c>
      <c r="E12" s="92" t="s">
        <v>81</v>
      </c>
      <c r="F12" s="92">
        <v>1500000</v>
      </c>
      <c r="G12" s="92"/>
      <c r="H12" s="81" t="s">
        <v>82</v>
      </c>
      <c r="I12" s="81"/>
      <c r="J12" s="81"/>
      <c r="K12" s="81"/>
      <c r="L12" s="92">
        <v>20000</v>
      </c>
      <c r="M12" s="92"/>
      <c r="N12" s="91" t="s">
        <v>96</v>
      </c>
      <c r="O12" s="92"/>
      <c r="P12" s="92"/>
      <c r="Q12" s="552"/>
      <c r="R12" s="552"/>
      <c r="S12" s="552"/>
      <c r="T12" s="552"/>
      <c r="U12" s="552"/>
      <c r="V12" s="552"/>
      <c r="W12" s="552"/>
      <c r="X12" s="93" t="s">
        <v>97</v>
      </c>
      <c r="Y12" s="93" t="s">
        <v>98</v>
      </c>
      <c r="Z12" s="134">
        <v>1290</v>
      </c>
      <c r="AA12" s="134"/>
      <c r="AB12" s="134"/>
      <c r="AC12" s="134"/>
      <c r="AD12" s="134"/>
      <c r="AE12" s="134"/>
      <c r="AF12" s="134"/>
      <c r="AG12" s="134"/>
      <c r="AH12" s="134"/>
      <c r="AI12" s="134"/>
      <c r="AJ12" s="134"/>
      <c r="AK12" s="134"/>
      <c r="AL12" s="134"/>
      <c r="AM12" s="134"/>
      <c r="AN12" s="134"/>
      <c r="AO12" s="134"/>
      <c r="AP12" s="134"/>
      <c r="AQ12" s="92"/>
      <c r="AR12" s="91" t="s">
        <v>99</v>
      </c>
      <c r="AS12" s="91" t="s">
        <v>100</v>
      </c>
      <c r="AT12" s="91" t="s">
        <v>88</v>
      </c>
      <c r="AU12" s="93"/>
      <c r="AV12" s="157"/>
      <c r="AW12" s="158" t="s">
        <v>90</v>
      </c>
      <c r="AX12" s="158" t="s">
        <v>91</v>
      </c>
      <c r="AY12" s="158" t="str">
        <f t="shared" si="8"/>
        <v>工业钦州港</v>
      </c>
      <c r="AZ12" s="158" t="str">
        <f t="shared" si="9"/>
        <v>工业</v>
      </c>
      <c r="BA12" s="161"/>
      <c r="BB12" s="160"/>
      <c r="BC12" s="157"/>
      <c r="BD12" s="157"/>
      <c r="BE12" s="157"/>
      <c r="BF12" s="157"/>
      <c r="BG12" s="157"/>
      <c r="BH12" s="181"/>
      <c r="BI12" s="157" t="str">
        <f t="shared" si="10"/>
        <v>市石化产业发展局、钦州港区管委10月</v>
      </c>
      <c r="BJ12" s="157" t="s">
        <v>92</v>
      </c>
      <c r="BK12" s="157" t="s">
        <v>93</v>
      </c>
      <c r="BL12" s="201" t="str">
        <f t="shared" si="11"/>
        <v>企业市石化产业发展局、钦州港区管委</v>
      </c>
      <c r="BM12" s="201" t="str">
        <f t="shared" si="12"/>
        <v>产业市石化产业发展局、钦州港区管委</v>
      </c>
      <c r="BN12" s="201"/>
    </row>
    <row r="13" s="7" customFormat="1" ht="99.95" customHeight="1" spans="1:66">
      <c r="A13" s="23">
        <f>SUBTOTAL(3,C$11:C13)</f>
        <v>3</v>
      </c>
      <c r="B13" s="93" t="s">
        <v>101</v>
      </c>
      <c r="C13" s="92" t="s">
        <v>79</v>
      </c>
      <c r="D13" s="93" t="s">
        <v>102</v>
      </c>
      <c r="E13" s="92" t="s">
        <v>81</v>
      </c>
      <c r="F13" s="92">
        <v>580000</v>
      </c>
      <c r="G13" s="92"/>
      <c r="H13" s="81" t="s">
        <v>103</v>
      </c>
      <c r="I13" s="81"/>
      <c r="J13" s="81"/>
      <c r="K13" s="81"/>
      <c r="L13" s="92">
        <v>10000</v>
      </c>
      <c r="M13" s="92"/>
      <c r="N13" s="91" t="s">
        <v>104</v>
      </c>
      <c r="O13" s="92"/>
      <c r="P13" s="92"/>
      <c r="Q13" s="552"/>
      <c r="R13" s="552"/>
      <c r="S13" s="552"/>
      <c r="T13" s="552"/>
      <c r="U13" s="552"/>
      <c r="V13" s="552"/>
      <c r="W13" s="552"/>
      <c r="X13" s="93" t="s">
        <v>105</v>
      </c>
      <c r="Y13" s="93" t="s">
        <v>106</v>
      </c>
      <c r="Z13" s="134">
        <v>1061</v>
      </c>
      <c r="AA13" s="134"/>
      <c r="AB13" s="134"/>
      <c r="AC13" s="134"/>
      <c r="AD13" s="134"/>
      <c r="AE13" s="134"/>
      <c r="AF13" s="134"/>
      <c r="AG13" s="134"/>
      <c r="AH13" s="134"/>
      <c r="AI13" s="134"/>
      <c r="AJ13" s="134"/>
      <c r="AK13" s="134"/>
      <c r="AL13" s="134"/>
      <c r="AM13" s="134"/>
      <c r="AN13" s="134"/>
      <c r="AO13" s="134"/>
      <c r="AP13" s="134"/>
      <c r="AQ13" s="92"/>
      <c r="AR13" s="91" t="s">
        <v>107</v>
      </c>
      <c r="AS13" s="91" t="s">
        <v>108</v>
      </c>
      <c r="AT13" s="91" t="s">
        <v>88</v>
      </c>
      <c r="AU13" s="93" t="s">
        <v>109</v>
      </c>
      <c r="AV13" s="157"/>
      <c r="AW13" s="158" t="s">
        <v>90</v>
      </c>
      <c r="AX13" s="158" t="s">
        <v>91</v>
      </c>
      <c r="AY13" s="158" t="str">
        <f t="shared" si="8"/>
        <v>工业钦州港</v>
      </c>
      <c r="AZ13" s="158" t="str">
        <f t="shared" si="9"/>
        <v>工业</v>
      </c>
      <c r="BA13" s="161"/>
      <c r="BB13" s="160"/>
      <c r="BC13" s="157"/>
      <c r="BD13" s="157"/>
      <c r="BE13" s="157"/>
      <c r="BF13" s="157"/>
      <c r="BG13" s="157"/>
      <c r="BH13" s="181"/>
      <c r="BI13" s="157" t="str">
        <f t="shared" si="10"/>
        <v>市石化产业发展局、钦州港区管委10月</v>
      </c>
      <c r="BJ13" s="157" t="s">
        <v>92</v>
      </c>
      <c r="BK13" s="157" t="s">
        <v>93</v>
      </c>
      <c r="BL13" s="201" t="str">
        <f t="shared" si="11"/>
        <v>企业市石化产业发展局、钦州港区管委</v>
      </c>
      <c r="BM13" s="201" t="str">
        <f t="shared" si="12"/>
        <v>产业市石化产业发展局、钦州港区管委</v>
      </c>
      <c r="BN13" s="201"/>
    </row>
    <row r="14" ht="69.95" customHeight="1" spans="1:66">
      <c r="A14" s="23">
        <f>SUBTOTAL(3,C$11:C14)</f>
        <v>4</v>
      </c>
      <c r="B14" s="55" t="s">
        <v>110</v>
      </c>
      <c r="C14" s="23" t="s">
        <v>79</v>
      </c>
      <c r="D14" s="55" t="s">
        <v>111</v>
      </c>
      <c r="E14" s="35" t="s">
        <v>112</v>
      </c>
      <c r="F14" s="38">
        <v>113750</v>
      </c>
      <c r="G14" s="38"/>
      <c r="H14" s="83" t="s">
        <v>113</v>
      </c>
      <c r="I14" s="83"/>
      <c r="J14" s="578">
        <v>500</v>
      </c>
      <c r="K14" s="578">
        <v>2000</v>
      </c>
      <c r="L14" s="38">
        <v>5000</v>
      </c>
      <c r="M14" s="38"/>
      <c r="N14" s="91" t="s">
        <v>114</v>
      </c>
      <c r="O14" s="111"/>
      <c r="P14" s="67"/>
      <c r="Q14" s="134" t="s">
        <v>115</v>
      </c>
      <c r="R14" s="134" t="s">
        <v>115</v>
      </c>
      <c r="S14" s="134"/>
      <c r="T14" s="134"/>
      <c r="U14" s="134"/>
      <c r="V14" s="134"/>
      <c r="W14" s="134"/>
      <c r="X14" s="90" t="s">
        <v>116</v>
      </c>
      <c r="Y14" s="90" t="s">
        <v>117</v>
      </c>
      <c r="Z14" s="132">
        <v>100</v>
      </c>
      <c r="AA14" s="132"/>
      <c r="AB14" s="132"/>
      <c r="AC14" s="132"/>
      <c r="AD14" s="132"/>
      <c r="AE14" s="132"/>
      <c r="AF14" s="132"/>
      <c r="AG14" s="132"/>
      <c r="AH14" s="132"/>
      <c r="AI14" s="132"/>
      <c r="AJ14" s="132"/>
      <c r="AK14" s="132"/>
      <c r="AL14" s="132"/>
      <c r="AM14" s="132"/>
      <c r="AN14" s="132"/>
      <c r="AO14" s="132"/>
      <c r="AP14" s="132"/>
      <c r="AQ14" s="90"/>
      <c r="AR14" s="112" t="s">
        <v>117</v>
      </c>
      <c r="AS14" s="34" t="s">
        <v>118</v>
      </c>
      <c r="AT14" s="123" t="s">
        <v>119</v>
      </c>
      <c r="AU14" s="93"/>
      <c r="AV14" s="157"/>
      <c r="AW14" s="158" t="s">
        <v>90</v>
      </c>
      <c r="AX14" s="158" t="s">
        <v>91</v>
      </c>
      <c r="AY14" s="158" t="str">
        <f t="shared" si="8"/>
        <v>工业钦州港</v>
      </c>
      <c r="AZ14" s="158" t="str">
        <f t="shared" si="9"/>
        <v>工业</v>
      </c>
      <c r="BA14" s="161"/>
      <c r="BB14" s="160"/>
      <c r="BC14" s="157"/>
      <c r="BD14" s="157"/>
      <c r="BE14" s="157"/>
      <c r="BF14" s="157"/>
      <c r="BG14" s="157"/>
      <c r="BH14" s="181"/>
      <c r="BI14" s="157" t="str">
        <f t="shared" si="10"/>
        <v>钦州港区管委9月</v>
      </c>
      <c r="BJ14" s="157" t="s">
        <v>92</v>
      </c>
      <c r="BK14" s="157" t="s">
        <v>93</v>
      </c>
      <c r="BL14" s="201" t="str">
        <f t="shared" si="11"/>
        <v>企业钦州港区管委</v>
      </c>
      <c r="BM14" s="201" t="str">
        <f t="shared" si="12"/>
        <v>产业钦州港区管委</v>
      </c>
      <c r="BN14" s="201">
        <f t="shared" ref="BN14:BN19" si="13">IF(O14&gt;0,1,0)</f>
        <v>0</v>
      </c>
    </row>
    <row r="15" ht="69.95" customHeight="1" spans="1:66">
      <c r="A15" s="23">
        <f>SUBTOTAL(3,C$11:C15)</f>
        <v>5</v>
      </c>
      <c r="B15" s="55" t="s">
        <v>120</v>
      </c>
      <c r="C15" s="23" t="s">
        <v>79</v>
      </c>
      <c r="D15" s="55" t="s">
        <v>121</v>
      </c>
      <c r="E15" s="35" t="s">
        <v>112</v>
      </c>
      <c r="F15" s="36">
        <v>12377</v>
      </c>
      <c r="G15" s="36"/>
      <c r="H15" s="81" t="s">
        <v>122</v>
      </c>
      <c r="I15" s="81"/>
      <c r="J15" s="37">
        <v>1000</v>
      </c>
      <c r="K15" s="37">
        <v>4000</v>
      </c>
      <c r="L15" s="67">
        <v>5000</v>
      </c>
      <c r="M15" s="67"/>
      <c r="N15" s="123" t="s">
        <v>123</v>
      </c>
      <c r="O15" s="36"/>
      <c r="P15" s="134"/>
      <c r="Q15" s="134"/>
      <c r="R15" s="134"/>
      <c r="S15" s="134"/>
      <c r="T15" s="134"/>
      <c r="U15" s="134"/>
      <c r="V15" s="134"/>
      <c r="W15" s="134"/>
      <c r="X15" s="90" t="s">
        <v>124</v>
      </c>
      <c r="Y15" s="90" t="s">
        <v>125</v>
      </c>
      <c r="Z15" s="132"/>
      <c r="AA15" s="132"/>
      <c r="AB15" s="132"/>
      <c r="AC15" s="132"/>
      <c r="AD15" s="132"/>
      <c r="AE15" s="132"/>
      <c r="AF15" s="132"/>
      <c r="AG15" s="132"/>
      <c r="AH15" s="132"/>
      <c r="AI15" s="132"/>
      <c r="AJ15" s="132"/>
      <c r="AK15" s="132"/>
      <c r="AL15" s="132"/>
      <c r="AM15" s="132"/>
      <c r="AN15" s="132"/>
      <c r="AO15" s="132"/>
      <c r="AP15" s="132"/>
      <c r="AQ15" s="112"/>
      <c r="AR15" s="112" t="s">
        <v>126</v>
      </c>
      <c r="AS15" s="34" t="s">
        <v>127</v>
      </c>
      <c r="AT15" s="123" t="s">
        <v>119</v>
      </c>
      <c r="AU15" s="54" t="s">
        <v>128</v>
      </c>
      <c r="AV15" s="157"/>
      <c r="AW15" s="158" t="s">
        <v>90</v>
      </c>
      <c r="AX15" s="158" t="s">
        <v>91</v>
      </c>
      <c r="AY15" s="158" t="str">
        <f t="shared" si="8"/>
        <v>工业钦州港</v>
      </c>
      <c r="AZ15" s="158" t="str">
        <f t="shared" si="9"/>
        <v>工业</v>
      </c>
      <c r="BA15" s="161"/>
      <c r="BB15" s="160"/>
      <c r="BC15" s="157"/>
      <c r="BD15" s="157"/>
      <c r="BE15" s="157"/>
      <c r="BF15" s="157"/>
      <c r="BG15" s="157"/>
      <c r="BH15" s="181"/>
      <c r="BI15" s="157" t="str">
        <f t="shared" si="10"/>
        <v>钦州港区管委6月</v>
      </c>
      <c r="BJ15" s="157" t="s">
        <v>92</v>
      </c>
      <c r="BK15" s="157" t="s">
        <v>93</v>
      </c>
      <c r="BL15" s="201" t="str">
        <f t="shared" si="11"/>
        <v>企业钦州港区管委</v>
      </c>
      <c r="BM15" s="201" t="str">
        <f t="shared" si="12"/>
        <v>产业钦州港区管委</v>
      </c>
      <c r="BN15" s="201">
        <f t="shared" si="13"/>
        <v>0</v>
      </c>
    </row>
    <row r="16" s="7" customFormat="1" ht="63" customHeight="1" spans="1:66">
      <c r="A16" s="23">
        <f>SUBTOTAL(3,C$11:C16)</f>
        <v>6</v>
      </c>
      <c r="B16" s="55" t="s">
        <v>129</v>
      </c>
      <c r="C16" s="23" t="s">
        <v>79</v>
      </c>
      <c r="D16" s="55" t="s">
        <v>130</v>
      </c>
      <c r="E16" s="35" t="s">
        <v>112</v>
      </c>
      <c r="F16" s="38">
        <v>16200</v>
      </c>
      <c r="G16" s="38"/>
      <c r="H16" s="81" t="s">
        <v>131</v>
      </c>
      <c r="I16" s="81"/>
      <c r="J16" s="81"/>
      <c r="K16" s="81"/>
      <c r="L16" s="38">
        <v>1000</v>
      </c>
      <c r="M16" s="38"/>
      <c r="N16" s="123" t="s">
        <v>123</v>
      </c>
      <c r="O16" s="111"/>
      <c r="P16" s="67"/>
      <c r="Q16" s="134" t="s">
        <v>115</v>
      </c>
      <c r="R16" s="134"/>
      <c r="S16" s="134"/>
      <c r="T16" s="134"/>
      <c r="U16" s="134"/>
      <c r="V16" s="134"/>
      <c r="W16" s="134"/>
      <c r="X16" s="90" t="s">
        <v>132</v>
      </c>
      <c r="Y16" s="90" t="s">
        <v>117</v>
      </c>
      <c r="Z16" s="132"/>
      <c r="AA16" s="132"/>
      <c r="AB16" s="132"/>
      <c r="AC16" s="132"/>
      <c r="AD16" s="132"/>
      <c r="AE16" s="132"/>
      <c r="AF16" s="132"/>
      <c r="AG16" s="132"/>
      <c r="AH16" s="132"/>
      <c r="AI16" s="132"/>
      <c r="AJ16" s="132"/>
      <c r="AK16" s="132"/>
      <c r="AL16" s="132"/>
      <c r="AM16" s="132"/>
      <c r="AN16" s="132"/>
      <c r="AO16" s="132"/>
      <c r="AP16" s="132"/>
      <c r="AQ16" s="90"/>
      <c r="AR16" s="112" t="s">
        <v>133</v>
      </c>
      <c r="AS16" s="34" t="s">
        <v>134</v>
      </c>
      <c r="AT16" s="123" t="s">
        <v>119</v>
      </c>
      <c r="AU16" s="93" t="s">
        <v>135</v>
      </c>
      <c r="AV16" s="157"/>
      <c r="AW16" s="158" t="s">
        <v>90</v>
      </c>
      <c r="AX16" s="158" t="s">
        <v>91</v>
      </c>
      <c r="AY16" s="158" t="str">
        <f t="shared" si="8"/>
        <v>工业钦州港</v>
      </c>
      <c r="AZ16" s="158" t="str">
        <f t="shared" si="9"/>
        <v>工业</v>
      </c>
      <c r="BA16" s="161"/>
      <c r="BB16" s="160"/>
      <c r="BC16" s="157"/>
      <c r="BD16" s="157"/>
      <c r="BE16" s="157"/>
      <c r="BF16" s="157"/>
      <c r="BG16" s="157"/>
      <c r="BH16" s="181"/>
      <c r="BI16" s="157" t="str">
        <f t="shared" si="10"/>
        <v>钦州港区管委12月</v>
      </c>
      <c r="BJ16" s="157" t="s">
        <v>92</v>
      </c>
      <c r="BK16" s="157" t="s">
        <v>93</v>
      </c>
      <c r="BL16" s="201" t="str">
        <f t="shared" si="11"/>
        <v>企业钦州港区管委</v>
      </c>
      <c r="BM16" s="201" t="str">
        <f t="shared" si="12"/>
        <v>产业钦州港区管委</v>
      </c>
      <c r="BN16" s="201"/>
    </row>
    <row r="17" s="7" customFormat="1" ht="80.1" customHeight="1" spans="1:66">
      <c r="A17" s="23">
        <f>SUBTOTAL(3,C$11:C17)</f>
        <v>7</v>
      </c>
      <c r="B17" s="55" t="s">
        <v>136</v>
      </c>
      <c r="C17" s="23" t="s">
        <v>79</v>
      </c>
      <c r="D17" s="55" t="s">
        <v>137</v>
      </c>
      <c r="E17" s="59" t="s">
        <v>81</v>
      </c>
      <c r="F17" s="38">
        <v>15116</v>
      </c>
      <c r="G17" s="38"/>
      <c r="H17" s="81" t="s">
        <v>82</v>
      </c>
      <c r="I17" s="81"/>
      <c r="J17" s="81"/>
      <c r="K17" s="81"/>
      <c r="L17" s="38">
        <v>10000</v>
      </c>
      <c r="M17" s="38"/>
      <c r="N17" s="123" t="s">
        <v>123</v>
      </c>
      <c r="O17" s="111"/>
      <c r="P17" s="67"/>
      <c r="Q17" s="134"/>
      <c r="R17" s="134"/>
      <c r="S17" s="134"/>
      <c r="T17" s="134"/>
      <c r="U17" s="134"/>
      <c r="V17" s="134"/>
      <c r="W17" s="134"/>
      <c r="X17" s="90" t="s">
        <v>138</v>
      </c>
      <c r="Y17" s="90" t="s">
        <v>117</v>
      </c>
      <c r="Z17" s="132"/>
      <c r="AA17" s="132"/>
      <c r="AB17" s="132"/>
      <c r="AC17" s="132"/>
      <c r="AD17" s="132"/>
      <c r="AE17" s="132"/>
      <c r="AF17" s="132"/>
      <c r="AG17" s="132"/>
      <c r="AH17" s="132"/>
      <c r="AI17" s="132"/>
      <c r="AJ17" s="132"/>
      <c r="AK17" s="132"/>
      <c r="AL17" s="132"/>
      <c r="AM17" s="132"/>
      <c r="AN17" s="132"/>
      <c r="AO17" s="132"/>
      <c r="AP17" s="132"/>
      <c r="AQ17" s="90"/>
      <c r="AR17" s="112" t="s">
        <v>139</v>
      </c>
      <c r="AS17" s="34" t="s">
        <v>140</v>
      </c>
      <c r="AT17" s="123" t="s">
        <v>119</v>
      </c>
      <c r="AU17" s="93"/>
      <c r="AV17" s="157"/>
      <c r="AW17" s="158" t="s">
        <v>90</v>
      </c>
      <c r="AX17" s="158" t="s">
        <v>91</v>
      </c>
      <c r="AY17" s="158" t="str">
        <f t="shared" si="8"/>
        <v>工业钦州港</v>
      </c>
      <c r="AZ17" s="158" t="str">
        <f t="shared" si="9"/>
        <v>工业</v>
      </c>
      <c r="BA17" s="161"/>
      <c r="BB17" s="160"/>
      <c r="BC17" s="157"/>
      <c r="BD17" s="157"/>
      <c r="BE17" s="157"/>
      <c r="BF17" s="157"/>
      <c r="BG17" s="157"/>
      <c r="BH17" s="181"/>
      <c r="BI17" s="157" t="str">
        <f t="shared" si="10"/>
        <v>钦州港区管委10月</v>
      </c>
      <c r="BJ17" s="157" t="s">
        <v>92</v>
      </c>
      <c r="BK17" s="157" t="s">
        <v>93</v>
      </c>
      <c r="BL17" s="201" t="str">
        <f t="shared" si="11"/>
        <v>企业钦州港区管委</v>
      </c>
      <c r="BM17" s="201" t="str">
        <f t="shared" si="12"/>
        <v>产业钦州港区管委</v>
      </c>
      <c r="BN17" s="201"/>
    </row>
    <row r="18" s="7" customFormat="1" ht="99.95" customHeight="1" spans="1:66">
      <c r="A18" s="23">
        <f>SUBTOTAL(3,C$11:C18)</f>
        <v>8</v>
      </c>
      <c r="B18" s="60" t="s">
        <v>141</v>
      </c>
      <c r="C18" s="23" t="s">
        <v>79</v>
      </c>
      <c r="D18" s="88" t="s">
        <v>142</v>
      </c>
      <c r="E18" s="23" t="s">
        <v>143</v>
      </c>
      <c r="F18" s="67">
        <v>1145000</v>
      </c>
      <c r="G18" s="67"/>
      <c r="H18" s="81" t="s">
        <v>144</v>
      </c>
      <c r="I18" s="81"/>
      <c r="J18" s="37">
        <v>5000</v>
      </c>
      <c r="K18" s="37">
        <v>20000</v>
      </c>
      <c r="L18" s="67">
        <v>50000</v>
      </c>
      <c r="M18" s="67"/>
      <c r="N18" s="123" t="s">
        <v>145</v>
      </c>
      <c r="O18" s="61"/>
      <c r="P18" s="136"/>
      <c r="Q18" s="251" t="s">
        <v>115</v>
      </c>
      <c r="R18" s="251" t="s">
        <v>115</v>
      </c>
      <c r="S18" s="251" t="s">
        <v>115</v>
      </c>
      <c r="T18" s="251" t="s">
        <v>115</v>
      </c>
      <c r="U18" s="251"/>
      <c r="V18" s="251"/>
      <c r="W18" s="251"/>
      <c r="X18" s="90" t="s">
        <v>146</v>
      </c>
      <c r="Y18" s="90" t="s">
        <v>147</v>
      </c>
      <c r="Z18" s="132">
        <v>1233</v>
      </c>
      <c r="AA18" s="132">
        <v>411</v>
      </c>
      <c r="AB18" s="132">
        <v>822</v>
      </c>
      <c r="AC18" s="132"/>
      <c r="AD18" s="132"/>
      <c r="AE18" s="132"/>
      <c r="AF18" s="132"/>
      <c r="AG18" s="132"/>
      <c r="AH18" s="132"/>
      <c r="AI18" s="132"/>
      <c r="AJ18" s="132"/>
      <c r="AK18" s="132"/>
      <c r="AL18" s="132"/>
      <c r="AM18" s="132"/>
      <c r="AN18" s="132"/>
      <c r="AO18" s="132"/>
      <c r="AP18" s="132"/>
      <c r="AQ18" s="60"/>
      <c r="AR18" s="112" t="s">
        <v>148</v>
      </c>
      <c r="AS18" s="123" t="s">
        <v>149</v>
      </c>
      <c r="AT18" s="123" t="s">
        <v>119</v>
      </c>
      <c r="AU18" s="93" t="s">
        <v>150</v>
      </c>
      <c r="AV18" s="157"/>
      <c r="AW18" s="158" t="s">
        <v>90</v>
      </c>
      <c r="AX18" s="158" t="s">
        <v>91</v>
      </c>
      <c r="AY18" s="158" t="str">
        <f t="shared" si="8"/>
        <v>工业钦州港</v>
      </c>
      <c r="AZ18" s="158" t="str">
        <f t="shared" si="9"/>
        <v>工业</v>
      </c>
      <c r="BA18" s="159"/>
      <c r="BB18" s="160"/>
      <c r="BC18" s="157"/>
      <c r="BD18" s="157"/>
      <c r="BE18" s="157"/>
      <c r="BF18" s="157"/>
      <c r="BG18" s="157"/>
      <c r="BH18" s="181"/>
      <c r="BI18" s="157" t="str">
        <f t="shared" si="10"/>
        <v>钦州港区管委5月</v>
      </c>
      <c r="BJ18" s="157" t="s">
        <v>92</v>
      </c>
      <c r="BK18" s="157" t="s">
        <v>93</v>
      </c>
      <c r="BL18" s="201" t="str">
        <f t="shared" si="11"/>
        <v>企业钦州港区管委</v>
      </c>
      <c r="BM18" s="201" t="str">
        <f t="shared" si="12"/>
        <v>产业钦州港区管委</v>
      </c>
      <c r="BN18" s="201">
        <f t="shared" si="13"/>
        <v>0</v>
      </c>
    </row>
    <row r="19" s="7" customFormat="1" ht="99.95" customHeight="1" spans="1:66">
      <c r="A19" s="23">
        <f>SUBTOTAL(3,C$11:C19)</f>
        <v>9</v>
      </c>
      <c r="B19" s="55" t="s">
        <v>151</v>
      </c>
      <c r="C19" s="23" t="s">
        <v>79</v>
      </c>
      <c r="D19" s="88" t="s">
        <v>152</v>
      </c>
      <c r="E19" s="23" t="s">
        <v>81</v>
      </c>
      <c r="F19" s="67">
        <v>114900</v>
      </c>
      <c r="G19" s="67"/>
      <c r="H19" s="83" t="s">
        <v>122</v>
      </c>
      <c r="I19" s="83"/>
      <c r="J19" s="578">
        <v>2000</v>
      </c>
      <c r="K19" s="578">
        <v>10000</v>
      </c>
      <c r="L19" s="36">
        <v>20000</v>
      </c>
      <c r="M19" s="36"/>
      <c r="N19" s="112" t="s">
        <v>153</v>
      </c>
      <c r="O19" s="61"/>
      <c r="P19" s="136"/>
      <c r="Q19" s="251"/>
      <c r="R19" s="251"/>
      <c r="S19" s="251"/>
      <c r="T19" s="251"/>
      <c r="U19" s="251"/>
      <c r="V19" s="251"/>
      <c r="W19" s="251"/>
      <c r="X19" s="90" t="s">
        <v>154</v>
      </c>
      <c r="Y19" s="90" t="s">
        <v>155</v>
      </c>
      <c r="Z19" s="132"/>
      <c r="AA19" s="132"/>
      <c r="AB19" s="132"/>
      <c r="AC19" s="132"/>
      <c r="AD19" s="132"/>
      <c r="AE19" s="132"/>
      <c r="AF19" s="132"/>
      <c r="AG19" s="132"/>
      <c r="AH19" s="132"/>
      <c r="AI19" s="132"/>
      <c r="AJ19" s="132"/>
      <c r="AK19" s="132"/>
      <c r="AL19" s="132"/>
      <c r="AM19" s="132"/>
      <c r="AN19" s="132"/>
      <c r="AO19" s="132"/>
      <c r="AP19" s="132"/>
      <c r="AQ19" s="60"/>
      <c r="AR19" s="112" t="s">
        <v>156</v>
      </c>
      <c r="AS19" s="123" t="s">
        <v>157</v>
      </c>
      <c r="AT19" s="123" t="s">
        <v>119</v>
      </c>
      <c r="AU19" s="55"/>
      <c r="AV19" s="157"/>
      <c r="AW19" s="158" t="s">
        <v>90</v>
      </c>
      <c r="AX19" s="158" t="s">
        <v>91</v>
      </c>
      <c r="AY19" s="158" t="str">
        <f t="shared" si="8"/>
        <v>工业钦州港</v>
      </c>
      <c r="AZ19" s="158" t="str">
        <f t="shared" si="9"/>
        <v>工业</v>
      </c>
      <c r="BA19" s="159"/>
      <c r="BB19" s="160"/>
      <c r="BC19" s="157"/>
      <c r="BD19" s="157"/>
      <c r="BE19" s="157"/>
      <c r="BF19" s="157"/>
      <c r="BG19" s="157"/>
      <c r="BH19" s="181"/>
      <c r="BI19" s="157" t="str">
        <f t="shared" si="10"/>
        <v>钦州港区管委6月</v>
      </c>
      <c r="BJ19" s="157" t="s">
        <v>92</v>
      </c>
      <c r="BK19" s="157" t="s">
        <v>93</v>
      </c>
      <c r="BL19" s="201" t="str">
        <f t="shared" si="11"/>
        <v>企业钦州港区管委</v>
      </c>
      <c r="BM19" s="201" t="str">
        <f t="shared" si="12"/>
        <v>产业钦州港区管委</v>
      </c>
      <c r="BN19" s="201">
        <f t="shared" si="13"/>
        <v>0</v>
      </c>
    </row>
    <row r="20" s="7" customFormat="1" ht="80.1" customHeight="1" spans="1:66">
      <c r="A20" s="23">
        <f>SUBTOTAL(3,C$11:C20)</f>
        <v>10</v>
      </c>
      <c r="B20" s="60" t="s">
        <v>158</v>
      </c>
      <c r="C20" s="23" t="s">
        <v>79</v>
      </c>
      <c r="D20" s="88" t="s">
        <v>159</v>
      </c>
      <c r="E20" s="23" t="s">
        <v>112</v>
      </c>
      <c r="F20" s="67">
        <v>35000</v>
      </c>
      <c r="G20" s="134"/>
      <c r="H20" s="81" t="s">
        <v>82</v>
      </c>
      <c r="I20" s="81"/>
      <c r="J20" s="81"/>
      <c r="K20" s="81"/>
      <c r="L20" s="67">
        <v>5000</v>
      </c>
      <c r="M20" s="36"/>
      <c r="N20" s="123" t="s">
        <v>160</v>
      </c>
      <c r="O20" s="133"/>
      <c r="P20" s="134"/>
      <c r="Q20" s="134"/>
      <c r="R20" s="134"/>
      <c r="S20" s="134"/>
      <c r="T20" s="134"/>
      <c r="U20" s="134"/>
      <c r="V20" s="134"/>
      <c r="W20" s="134"/>
      <c r="X20" s="90"/>
      <c r="Y20" s="90"/>
      <c r="Z20" s="132">
        <v>80</v>
      </c>
      <c r="AA20" s="132"/>
      <c r="AB20" s="132"/>
      <c r="AC20" s="132"/>
      <c r="AD20" s="132"/>
      <c r="AE20" s="132"/>
      <c r="AF20" s="132"/>
      <c r="AG20" s="132"/>
      <c r="AH20" s="132"/>
      <c r="AI20" s="132"/>
      <c r="AJ20" s="132"/>
      <c r="AK20" s="132"/>
      <c r="AL20" s="132"/>
      <c r="AM20" s="132"/>
      <c r="AN20" s="132"/>
      <c r="AO20" s="132"/>
      <c r="AP20" s="132"/>
      <c r="AQ20" s="60"/>
      <c r="AR20" s="112" t="s">
        <v>117</v>
      </c>
      <c r="AS20" s="123" t="s">
        <v>161</v>
      </c>
      <c r="AT20" s="123" t="s">
        <v>119</v>
      </c>
      <c r="AU20" s="55"/>
      <c r="AV20" s="157"/>
      <c r="AW20" s="158" t="s">
        <v>90</v>
      </c>
      <c r="AX20" s="158" t="s">
        <v>91</v>
      </c>
      <c r="AY20" s="158" t="str">
        <f t="shared" si="8"/>
        <v>工业钦州港</v>
      </c>
      <c r="AZ20" s="158" t="str">
        <f t="shared" si="9"/>
        <v>工业</v>
      </c>
      <c r="BA20" s="159"/>
      <c r="BB20" s="160"/>
      <c r="BC20" s="157"/>
      <c r="BD20" s="157"/>
      <c r="BE20" s="157"/>
      <c r="BF20" s="157"/>
      <c r="BG20" s="157"/>
      <c r="BH20" s="181"/>
      <c r="BI20" s="157"/>
      <c r="BJ20" s="157"/>
      <c r="BK20" s="157"/>
      <c r="BL20" s="201"/>
      <c r="BM20" s="201"/>
      <c r="BN20" s="201"/>
    </row>
    <row r="21" s="907" customFormat="1" ht="33" hidden="1" customHeight="1" spans="1:66">
      <c r="A21" s="23"/>
      <c r="B21" s="908" t="str">
        <f>"保税港（"&amp;SUBTOTAL(3,C22:C24)&amp;"个）"</f>
        <v>保税港（3个）</v>
      </c>
      <c r="C21" s="909"/>
      <c r="D21" s="910"/>
      <c r="E21" s="23"/>
      <c r="F21" s="134">
        <f t="shared" ref="F21:M21" si="14">SUBTOTAL(9,F22:F24)</f>
        <v>20333</v>
      </c>
      <c r="G21" s="134">
        <f t="shared" si="14"/>
        <v>0</v>
      </c>
      <c r="H21" s="81"/>
      <c r="I21" s="134">
        <f t="shared" si="14"/>
        <v>500</v>
      </c>
      <c r="J21" s="134">
        <f t="shared" si="14"/>
        <v>5000</v>
      </c>
      <c r="K21" s="134">
        <f t="shared" si="14"/>
        <v>8500</v>
      </c>
      <c r="L21" s="134">
        <f t="shared" si="14"/>
        <v>11000</v>
      </c>
      <c r="M21" s="134">
        <f t="shared" si="14"/>
        <v>6000</v>
      </c>
      <c r="N21" s="134"/>
      <c r="O21" s="56"/>
      <c r="P21" s="127"/>
      <c r="Q21" s="115"/>
      <c r="R21" s="115"/>
      <c r="S21" s="115"/>
      <c r="T21" s="115"/>
      <c r="U21" s="115"/>
      <c r="V21" s="115"/>
      <c r="W21" s="115"/>
      <c r="X21" s="54"/>
      <c r="Y21" s="90"/>
      <c r="Z21" s="134">
        <f t="shared" ref="Z21:AP21" si="15">SUBTOTAL(9,Z22:Z24)</f>
        <v>153</v>
      </c>
      <c r="AA21" s="134">
        <f t="shared" si="15"/>
        <v>153</v>
      </c>
      <c r="AB21" s="134">
        <f t="shared" si="15"/>
        <v>0</v>
      </c>
      <c r="AC21" s="134">
        <f t="shared" si="15"/>
        <v>0</v>
      </c>
      <c r="AD21" s="134">
        <f t="shared" si="15"/>
        <v>0</v>
      </c>
      <c r="AE21" s="134">
        <f t="shared" si="15"/>
        <v>0</v>
      </c>
      <c r="AF21" s="134">
        <f t="shared" si="15"/>
        <v>0</v>
      </c>
      <c r="AG21" s="134">
        <f t="shared" si="15"/>
        <v>0</v>
      </c>
      <c r="AH21" s="134">
        <f t="shared" si="15"/>
        <v>0</v>
      </c>
      <c r="AI21" s="134">
        <f t="shared" si="15"/>
        <v>0</v>
      </c>
      <c r="AJ21" s="134">
        <f t="shared" si="15"/>
        <v>0</v>
      </c>
      <c r="AK21" s="134">
        <f t="shared" si="15"/>
        <v>0</v>
      </c>
      <c r="AL21" s="134">
        <f t="shared" si="15"/>
        <v>0</v>
      </c>
      <c r="AM21" s="134">
        <f t="shared" si="15"/>
        <v>0</v>
      </c>
      <c r="AN21" s="134">
        <f t="shared" si="15"/>
        <v>0</v>
      </c>
      <c r="AO21" s="134">
        <f t="shared" si="15"/>
        <v>7000</v>
      </c>
      <c r="AP21" s="134">
        <f t="shared" si="15"/>
        <v>4000</v>
      </c>
      <c r="AQ21" s="90"/>
      <c r="AR21" s="112"/>
      <c r="AS21" s="123"/>
      <c r="AT21" s="35"/>
      <c r="AU21" s="93"/>
      <c r="AV21" s="157"/>
      <c r="AW21" s="158"/>
      <c r="AX21" s="158"/>
      <c r="AY21" s="158"/>
      <c r="AZ21" s="158"/>
      <c r="BA21" s="167"/>
      <c r="BB21" s="160"/>
      <c r="BC21" s="157"/>
      <c r="BD21" s="157"/>
      <c r="BE21" s="157"/>
      <c r="BF21" s="157"/>
      <c r="BG21" s="157"/>
      <c r="BH21" s="157"/>
      <c r="BI21" s="157"/>
      <c r="BJ21" s="157"/>
      <c r="BK21" s="157"/>
      <c r="BL21" s="201"/>
      <c r="BM21" s="201"/>
      <c r="BN21" s="201"/>
    </row>
    <row r="22" s="907" customFormat="1" ht="80.1" customHeight="1" spans="1:66">
      <c r="A22" s="23">
        <f>SUBTOTAL(3,C$11:C22)</f>
        <v>11</v>
      </c>
      <c r="B22" s="34" t="s">
        <v>162</v>
      </c>
      <c r="C22" s="35" t="s">
        <v>79</v>
      </c>
      <c r="D22" s="911" t="s">
        <v>163</v>
      </c>
      <c r="E22" s="35" t="s">
        <v>112</v>
      </c>
      <c r="F22" s="38">
        <v>9333</v>
      </c>
      <c r="G22" s="36"/>
      <c r="H22" s="83" t="s">
        <v>122</v>
      </c>
      <c r="I22" s="67">
        <v>500</v>
      </c>
      <c r="J22" s="67">
        <v>2000</v>
      </c>
      <c r="K22" s="67">
        <v>2500</v>
      </c>
      <c r="L22" s="38">
        <v>3000</v>
      </c>
      <c r="M22" s="36"/>
      <c r="N22" s="58" t="s">
        <v>164</v>
      </c>
      <c r="O22" s="56"/>
      <c r="P22" s="127"/>
      <c r="Q22" s="115"/>
      <c r="R22" s="115"/>
      <c r="S22" s="115"/>
      <c r="T22" s="115"/>
      <c r="U22" s="115"/>
      <c r="V22" s="115"/>
      <c r="W22" s="115"/>
      <c r="X22" s="55"/>
      <c r="Y22" s="90"/>
      <c r="Z22" s="132"/>
      <c r="AA22" s="132"/>
      <c r="AB22" s="132"/>
      <c r="AC22" s="132"/>
      <c r="AD22" s="132"/>
      <c r="AE22" s="132"/>
      <c r="AF22" s="132"/>
      <c r="AG22" s="132"/>
      <c r="AH22" s="132"/>
      <c r="AI22" s="132"/>
      <c r="AJ22" s="132"/>
      <c r="AK22" s="132"/>
      <c r="AL22" s="132"/>
      <c r="AM22" s="132"/>
      <c r="AN22" s="132"/>
      <c r="AO22" s="132">
        <v>3000</v>
      </c>
      <c r="AP22" s="132"/>
      <c r="AQ22" s="90"/>
      <c r="AR22" s="112" t="s">
        <v>117</v>
      </c>
      <c r="AS22" s="34" t="s">
        <v>165</v>
      </c>
      <c r="AT22" s="123" t="s">
        <v>166</v>
      </c>
      <c r="AU22" s="171"/>
      <c r="AV22" s="157"/>
      <c r="AW22" s="158" t="s">
        <v>167</v>
      </c>
      <c r="AX22" s="158" t="s">
        <v>91</v>
      </c>
      <c r="AY22" s="158" t="str">
        <f t="shared" ref="AY22:AY24" si="16">AX22&amp;AW22</f>
        <v>工业保税港</v>
      </c>
      <c r="AZ22" s="158" t="str">
        <f t="shared" ref="AZ22:AZ24" si="17">AX22</f>
        <v>工业</v>
      </c>
      <c r="BA22" s="167"/>
      <c r="BB22" s="160"/>
      <c r="BC22" s="157"/>
      <c r="BD22" s="157"/>
      <c r="BE22" s="157"/>
      <c r="BF22" s="157"/>
      <c r="BG22" s="157"/>
      <c r="BH22" s="157"/>
      <c r="BI22" s="157"/>
      <c r="BJ22" s="157"/>
      <c r="BK22" s="157"/>
      <c r="BL22" s="201"/>
      <c r="BM22" s="201"/>
      <c r="BN22" s="201"/>
    </row>
    <row r="23" s="907" customFormat="1" ht="80.1" customHeight="1" spans="1:66">
      <c r="A23" s="23">
        <f>SUBTOTAL(3,C$11:C23)</f>
        <v>12</v>
      </c>
      <c r="B23" s="88" t="s">
        <v>168</v>
      </c>
      <c r="C23" s="23" t="s">
        <v>79</v>
      </c>
      <c r="D23" s="88" t="s">
        <v>169</v>
      </c>
      <c r="E23" s="23" t="s">
        <v>112</v>
      </c>
      <c r="F23" s="67">
        <v>7000</v>
      </c>
      <c r="G23" s="67"/>
      <c r="H23" s="83" t="s">
        <v>122</v>
      </c>
      <c r="I23" s="67"/>
      <c r="J23" s="67"/>
      <c r="K23" s="67">
        <v>2000</v>
      </c>
      <c r="L23" s="67">
        <v>4000</v>
      </c>
      <c r="M23" s="36"/>
      <c r="N23" s="112" t="s">
        <v>170</v>
      </c>
      <c r="O23" s="88" t="s">
        <v>171</v>
      </c>
      <c r="P23" s="88" t="s">
        <v>172</v>
      </c>
      <c r="Q23" s="23" t="s">
        <v>173</v>
      </c>
      <c r="R23" s="23" t="s">
        <v>166</v>
      </c>
      <c r="S23" s="837"/>
      <c r="T23" s="257"/>
      <c r="U23" s="257"/>
      <c r="V23" s="257"/>
      <c r="W23" s="257"/>
      <c r="X23" s="90"/>
      <c r="Y23" s="90"/>
      <c r="Z23" s="99">
        <v>78</v>
      </c>
      <c r="AA23" s="99">
        <v>78</v>
      </c>
      <c r="AB23" s="112"/>
      <c r="AC23" s="112"/>
      <c r="AD23" s="112"/>
      <c r="AE23" s="112"/>
      <c r="AF23" s="112"/>
      <c r="AG23" s="112"/>
      <c r="AH23" s="112"/>
      <c r="AI23" s="112"/>
      <c r="AJ23" s="112"/>
      <c r="AK23" s="112"/>
      <c r="AL23" s="112"/>
      <c r="AM23" s="112"/>
      <c r="AN23" s="112"/>
      <c r="AO23" s="99"/>
      <c r="AP23" s="99">
        <v>4000</v>
      </c>
      <c r="AQ23" s="90"/>
      <c r="AR23" s="112" t="s">
        <v>174</v>
      </c>
      <c r="AS23" s="131" t="s">
        <v>172</v>
      </c>
      <c r="AT23" s="123" t="s">
        <v>166</v>
      </c>
      <c r="AU23" s="697"/>
      <c r="AV23" s="157"/>
      <c r="AW23" s="158" t="s">
        <v>167</v>
      </c>
      <c r="AX23" s="158" t="s">
        <v>91</v>
      </c>
      <c r="AY23" s="158" t="str">
        <f t="shared" si="16"/>
        <v>工业保税港</v>
      </c>
      <c r="AZ23" s="158" t="str">
        <f t="shared" si="17"/>
        <v>工业</v>
      </c>
      <c r="BA23" s="167"/>
      <c r="BB23" s="160"/>
      <c r="BC23" s="157"/>
      <c r="BD23" s="157"/>
      <c r="BE23" s="157"/>
      <c r="BF23" s="157"/>
      <c r="BG23" s="157"/>
      <c r="BH23" s="157"/>
      <c r="BI23" s="157"/>
      <c r="BJ23" s="157"/>
      <c r="BK23" s="157"/>
      <c r="BL23" s="201"/>
      <c r="BM23" s="201"/>
      <c r="BN23" s="201"/>
    </row>
    <row r="24" s="907" customFormat="1" ht="60.95" customHeight="1" spans="1:66">
      <c r="A24" s="23">
        <f>SUBTOTAL(3,C$11:C24)</f>
        <v>13</v>
      </c>
      <c r="B24" s="88" t="s">
        <v>175</v>
      </c>
      <c r="C24" s="23" t="s">
        <v>79</v>
      </c>
      <c r="D24" s="911" t="s">
        <v>176</v>
      </c>
      <c r="E24" s="23">
        <v>2019</v>
      </c>
      <c r="F24" s="67">
        <v>4000</v>
      </c>
      <c r="G24" s="67"/>
      <c r="H24" s="83" t="s">
        <v>177</v>
      </c>
      <c r="I24" s="67"/>
      <c r="J24" s="67">
        <v>3000</v>
      </c>
      <c r="K24" s="67">
        <v>4000</v>
      </c>
      <c r="L24" s="67">
        <v>4000</v>
      </c>
      <c r="M24" s="36">
        <v>6000</v>
      </c>
      <c r="N24" s="112" t="s">
        <v>178</v>
      </c>
      <c r="O24" s="88" t="s">
        <v>171</v>
      </c>
      <c r="P24" s="88" t="s">
        <v>172</v>
      </c>
      <c r="Q24" s="23" t="s">
        <v>173</v>
      </c>
      <c r="R24" s="23" t="s">
        <v>166</v>
      </c>
      <c r="S24" s="837"/>
      <c r="T24" s="257"/>
      <c r="U24" s="257"/>
      <c r="V24" s="257"/>
      <c r="W24" s="257"/>
      <c r="X24" s="90"/>
      <c r="Y24" s="90"/>
      <c r="Z24" s="99">
        <v>75</v>
      </c>
      <c r="AA24" s="99">
        <v>75</v>
      </c>
      <c r="AB24" s="112"/>
      <c r="AC24" s="112"/>
      <c r="AD24" s="112"/>
      <c r="AE24" s="112"/>
      <c r="AF24" s="112"/>
      <c r="AG24" s="112"/>
      <c r="AH24" s="112"/>
      <c r="AI24" s="112"/>
      <c r="AJ24" s="112"/>
      <c r="AK24" s="112"/>
      <c r="AL24" s="112"/>
      <c r="AM24" s="112"/>
      <c r="AN24" s="112"/>
      <c r="AO24" s="99">
        <v>4000</v>
      </c>
      <c r="AP24" s="99"/>
      <c r="AQ24" s="90"/>
      <c r="AR24" s="112" t="s">
        <v>117</v>
      </c>
      <c r="AS24" s="131" t="s">
        <v>172</v>
      </c>
      <c r="AT24" s="123" t="s">
        <v>166</v>
      </c>
      <c r="AU24" s="697"/>
      <c r="AV24" s="157"/>
      <c r="AW24" s="158" t="s">
        <v>167</v>
      </c>
      <c r="AX24" s="158" t="s">
        <v>91</v>
      </c>
      <c r="AY24" s="158" t="str">
        <f t="shared" si="16"/>
        <v>工业保税港</v>
      </c>
      <c r="AZ24" s="158" t="str">
        <f t="shared" si="17"/>
        <v>工业</v>
      </c>
      <c r="BA24" s="167"/>
      <c r="BB24" s="160"/>
      <c r="BC24" s="157"/>
      <c r="BD24" s="157"/>
      <c r="BE24" s="157"/>
      <c r="BF24" s="157"/>
      <c r="BG24" s="157"/>
      <c r="BH24" s="157"/>
      <c r="BI24" s="157"/>
      <c r="BJ24" s="157"/>
      <c r="BK24" s="157"/>
      <c r="BL24" s="201"/>
      <c r="BM24" s="201"/>
      <c r="BN24" s="201"/>
    </row>
    <row r="25" s="9" customFormat="1" ht="15.75" hidden="1" customHeight="1" spans="1:66">
      <c r="A25" s="23"/>
      <c r="B25" s="908" t="str">
        <f>"中马园（"&amp;SUBTOTAL(3,C26:C35)&amp;"个）"</f>
        <v>中马园（10个）</v>
      </c>
      <c r="C25" s="909"/>
      <c r="D25" s="910"/>
      <c r="E25" s="551"/>
      <c r="F25" s="134">
        <f t="shared" ref="F25:M25" si="18">SUBTOTAL(9,F26:F35)</f>
        <v>2632321</v>
      </c>
      <c r="G25" s="134"/>
      <c r="H25" s="134"/>
      <c r="I25" s="134">
        <f t="shared" si="18"/>
        <v>6900</v>
      </c>
      <c r="J25" s="134">
        <f t="shared" si="18"/>
        <v>34050</v>
      </c>
      <c r="K25" s="134">
        <f t="shared" si="18"/>
        <v>114975</v>
      </c>
      <c r="L25" s="134">
        <f t="shared" si="18"/>
        <v>355500</v>
      </c>
      <c r="M25" s="134">
        <f t="shared" si="18"/>
        <v>0</v>
      </c>
      <c r="N25" s="134"/>
      <c r="O25" s="133"/>
      <c r="P25" s="134"/>
      <c r="Q25" s="134"/>
      <c r="R25" s="134"/>
      <c r="S25" s="134"/>
      <c r="T25" s="134"/>
      <c r="U25" s="134"/>
      <c r="V25" s="134"/>
      <c r="W25" s="134"/>
      <c r="X25" s="90"/>
      <c r="Y25" s="90"/>
      <c r="Z25" s="134">
        <f t="shared" ref="Z25:AP25" si="19">SUBTOTAL(9,Z26:Z35)</f>
        <v>2910</v>
      </c>
      <c r="AA25" s="134">
        <f t="shared" si="19"/>
        <v>1915</v>
      </c>
      <c r="AB25" s="134">
        <f t="shared" si="19"/>
        <v>995</v>
      </c>
      <c r="AC25" s="134">
        <f t="shared" si="19"/>
        <v>0</v>
      </c>
      <c r="AD25" s="134">
        <f t="shared" si="19"/>
        <v>0</v>
      </c>
      <c r="AE25" s="134">
        <f t="shared" si="19"/>
        <v>0</v>
      </c>
      <c r="AF25" s="134">
        <f t="shared" si="19"/>
        <v>0</v>
      </c>
      <c r="AG25" s="134">
        <f t="shared" si="19"/>
        <v>0</v>
      </c>
      <c r="AH25" s="134">
        <f t="shared" si="19"/>
        <v>0</v>
      </c>
      <c r="AI25" s="134">
        <f t="shared" si="19"/>
        <v>505</v>
      </c>
      <c r="AJ25" s="134">
        <f t="shared" si="19"/>
        <v>505</v>
      </c>
      <c r="AK25" s="134">
        <f t="shared" si="19"/>
        <v>0</v>
      </c>
      <c r="AL25" s="134">
        <f t="shared" si="19"/>
        <v>0</v>
      </c>
      <c r="AM25" s="134">
        <f t="shared" si="19"/>
        <v>0</v>
      </c>
      <c r="AN25" s="134">
        <f t="shared" si="19"/>
        <v>0</v>
      </c>
      <c r="AO25" s="134">
        <f t="shared" si="19"/>
        <v>140950</v>
      </c>
      <c r="AP25" s="134">
        <f t="shared" si="19"/>
        <v>54550</v>
      </c>
      <c r="AQ25" s="90"/>
      <c r="AR25" s="112"/>
      <c r="AS25" s="591"/>
      <c r="AT25" s="134"/>
      <c r="AU25" s="93"/>
      <c r="AV25" s="165"/>
      <c r="AW25" s="158"/>
      <c r="AX25" s="158"/>
      <c r="AY25" s="158"/>
      <c r="AZ25" s="158"/>
      <c r="BA25" s="169"/>
      <c r="BB25" s="165"/>
      <c r="BC25" s="165"/>
      <c r="BD25" s="165"/>
      <c r="BE25" s="169"/>
      <c r="BF25" s="169"/>
      <c r="BG25" s="169"/>
      <c r="BH25" s="183" t="e">
        <f>"中马园（"&amp;SUBTOTAL(3,#REF!)&amp;"个）"</f>
        <v>#REF!</v>
      </c>
      <c r="BI25" s="165"/>
      <c r="BJ25" s="157"/>
      <c r="BK25" s="157"/>
      <c r="BM25" s="201"/>
      <c r="BN25" s="7"/>
    </row>
    <row r="26" ht="80.1" customHeight="1" spans="1:66">
      <c r="A26" s="23">
        <f>SUBTOTAL(3,C$11:C26)</f>
        <v>14</v>
      </c>
      <c r="B26" s="758" t="s">
        <v>179</v>
      </c>
      <c r="C26" s="23" t="s">
        <v>79</v>
      </c>
      <c r="D26" s="758" t="s">
        <v>180</v>
      </c>
      <c r="E26" s="268" t="s">
        <v>112</v>
      </c>
      <c r="F26" s="268">
        <v>1000000</v>
      </c>
      <c r="G26" s="268"/>
      <c r="H26" s="81" t="s">
        <v>177</v>
      </c>
      <c r="I26" s="81"/>
      <c r="J26" s="37">
        <v>10000</v>
      </c>
      <c r="K26" s="37">
        <v>60000</v>
      </c>
      <c r="L26" s="36">
        <v>250000</v>
      </c>
      <c r="M26" s="36"/>
      <c r="N26" s="112" t="s">
        <v>181</v>
      </c>
      <c r="O26" s="56"/>
      <c r="P26" s="76"/>
      <c r="Q26" s="730" t="s">
        <v>115</v>
      </c>
      <c r="R26" s="730" t="s">
        <v>115</v>
      </c>
      <c r="S26" s="132"/>
      <c r="T26" s="132"/>
      <c r="U26" s="132"/>
      <c r="V26" s="132"/>
      <c r="W26" s="132"/>
      <c r="X26" s="634" t="s">
        <v>182</v>
      </c>
      <c r="Y26" s="90" t="s">
        <v>183</v>
      </c>
      <c r="Z26" s="132">
        <v>650</v>
      </c>
      <c r="AA26" s="132">
        <v>650</v>
      </c>
      <c r="AB26" s="132"/>
      <c r="AC26" s="132"/>
      <c r="AD26" s="132"/>
      <c r="AE26" s="132"/>
      <c r="AF26" s="132"/>
      <c r="AG26" s="132"/>
      <c r="AH26" s="132"/>
      <c r="AI26" s="132"/>
      <c r="AJ26" s="132"/>
      <c r="AK26" s="132"/>
      <c r="AL26" s="132"/>
      <c r="AM26" s="132"/>
      <c r="AN26" s="132"/>
      <c r="AO26" s="132">
        <v>75000</v>
      </c>
      <c r="AP26" s="132">
        <v>20000</v>
      </c>
      <c r="AQ26" s="90"/>
      <c r="AR26" s="112" t="s">
        <v>183</v>
      </c>
      <c r="AS26" s="89" t="s">
        <v>184</v>
      </c>
      <c r="AT26" s="34" t="s">
        <v>185</v>
      </c>
      <c r="AU26" s="93"/>
      <c r="AV26" s="157"/>
      <c r="AW26" s="158" t="s">
        <v>186</v>
      </c>
      <c r="AX26" s="158" t="s">
        <v>91</v>
      </c>
      <c r="AY26" s="158" t="str">
        <f>AX26&amp;AW26</f>
        <v>工业中马园</v>
      </c>
      <c r="AZ26" s="158" t="str">
        <f t="shared" ref="AZ26:AZ35" si="20">AX26</f>
        <v>工业</v>
      </c>
      <c r="BA26" s="159"/>
      <c r="BB26" s="160"/>
      <c r="BC26" s="157"/>
      <c r="BD26" s="157"/>
      <c r="BE26" s="157"/>
      <c r="BF26" s="157"/>
      <c r="BG26" s="157"/>
      <c r="BH26" s="157"/>
      <c r="BI26" s="157" t="str">
        <f>AT26&amp;H26</f>
        <v>中马钦州产业园区管委4月</v>
      </c>
      <c r="BJ26" s="157" t="s">
        <v>92</v>
      </c>
      <c r="BK26" s="157" t="s">
        <v>93</v>
      </c>
      <c r="BL26" s="201" t="str">
        <f>BJ26&amp;AT26</f>
        <v>企业中马钦州产业园区管委</v>
      </c>
      <c r="BM26" s="201" t="str">
        <f>BK26&amp;AT26</f>
        <v>产业中马钦州产业园区管委</v>
      </c>
      <c r="BN26" s="201">
        <f t="shared" ref="BN26:BN35" si="21">IF(O26&gt;0,1,0)</f>
        <v>0</v>
      </c>
    </row>
    <row r="27" ht="80.1" customHeight="1" spans="1:66">
      <c r="A27" s="23">
        <f>SUBTOTAL(3,C$11:C27)</f>
        <v>15</v>
      </c>
      <c r="B27" s="55" t="s">
        <v>187</v>
      </c>
      <c r="C27" s="23" t="s">
        <v>79</v>
      </c>
      <c r="D27" s="55" t="s">
        <v>188</v>
      </c>
      <c r="E27" s="35" t="s">
        <v>81</v>
      </c>
      <c r="F27" s="36">
        <v>880000</v>
      </c>
      <c r="G27" s="36"/>
      <c r="H27" s="83" t="s">
        <v>82</v>
      </c>
      <c r="I27" s="578"/>
      <c r="J27" s="578"/>
      <c r="K27" s="578">
        <v>10600</v>
      </c>
      <c r="L27" s="36">
        <v>40000</v>
      </c>
      <c r="M27" s="36"/>
      <c r="N27" s="112" t="s">
        <v>189</v>
      </c>
      <c r="O27" s="56"/>
      <c r="P27" s="36"/>
      <c r="Q27" s="730" t="s">
        <v>115</v>
      </c>
      <c r="R27" s="730" t="s">
        <v>115</v>
      </c>
      <c r="S27" s="730" t="s">
        <v>115</v>
      </c>
      <c r="T27" s="99"/>
      <c r="U27" s="99"/>
      <c r="V27" s="730" t="s">
        <v>115</v>
      </c>
      <c r="W27" s="99"/>
      <c r="X27" s="90" t="s">
        <v>190</v>
      </c>
      <c r="Y27" s="90" t="s">
        <v>191</v>
      </c>
      <c r="Z27" s="132">
        <v>1500</v>
      </c>
      <c r="AA27" s="132">
        <v>505</v>
      </c>
      <c r="AB27" s="132">
        <v>995</v>
      </c>
      <c r="AC27" s="132"/>
      <c r="AD27" s="132"/>
      <c r="AE27" s="132"/>
      <c r="AF27" s="132"/>
      <c r="AG27" s="132"/>
      <c r="AH27" s="132"/>
      <c r="AI27" s="132">
        <v>505</v>
      </c>
      <c r="AJ27" s="132">
        <v>505</v>
      </c>
      <c r="AK27" s="132"/>
      <c r="AL27" s="132"/>
      <c r="AM27" s="132"/>
      <c r="AN27" s="132"/>
      <c r="AO27" s="132">
        <v>3000</v>
      </c>
      <c r="AP27" s="132">
        <v>34000</v>
      </c>
      <c r="AQ27" s="90"/>
      <c r="AR27" s="112" t="s">
        <v>183</v>
      </c>
      <c r="AS27" s="34" t="s">
        <v>192</v>
      </c>
      <c r="AT27" s="34" t="s">
        <v>185</v>
      </c>
      <c r="AU27" s="93"/>
      <c r="AV27" s="157"/>
      <c r="AW27" s="158" t="s">
        <v>186</v>
      </c>
      <c r="AX27" s="158" t="s">
        <v>91</v>
      </c>
      <c r="AY27" s="158" t="str">
        <f>AX27&amp;AW27</f>
        <v>工业中马园</v>
      </c>
      <c r="AZ27" s="158" t="str">
        <f t="shared" si="20"/>
        <v>工业</v>
      </c>
      <c r="BA27" s="159"/>
      <c r="BB27" s="160"/>
      <c r="BC27" s="157"/>
      <c r="BD27" s="157"/>
      <c r="BE27" s="157"/>
      <c r="BF27" s="157"/>
      <c r="BG27" s="157"/>
      <c r="BH27" s="157"/>
      <c r="BI27" s="157" t="str">
        <f>AT27&amp;H27</f>
        <v>中马钦州产业园区管委10月</v>
      </c>
      <c r="BJ27" s="157" t="s">
        <v>92</v>
      </c>
      <c r="BK27" s="157" t="s">
        <v>93</v>
      </c>
      <c r="BL27" s="201" t="str">
        <f>BJ27&amp;AT27</f>
        <v>企业中马钦州产业园区管委</v>
      </c>
      <c r="BM27" s="201" t="str">
        <f>BK27&amp;AT27</f>
        <v>产业中马钦州产业园区管委</v>
      </c>
      <c r="BN27" s="201">
        <f t="shared" si="21"/>
        <v>0</v>
      </c>
    </row>
    <row r="28" ht="80.1" customHeight="1" spans="1:66">
      <c r="A28" s="23">
        <f>SUBTOTAL(3,C$11:C28)</f>
        <v>16</v>
      </c>
      <c r="B28" s="55" t="s">
        <v>193</v>
      </c>
      <c r="C28" s="23" t="s">
        <v>79</v>
      </c>
      <c r="D28" s="55" t="s">
        <v>194</v>
      </c>
      <c r="E28" s="268" t="s">
        <v>81</v>
      </c>
      <c r="F28" s="36">
        <v>400000</v>
      </c>
      <c r="G28" s="36"/>
      <c r="H28" s="67" t="s">
        <v>195</v>
      </c>
      <c r="I28" s="67">
        <v>2000</v>
      </c>
      <c r="J28" s="67">
        <v>6300</v>
      </c>
      <c r="K28" s="67">
        <v>10600</v>
      </c>
      <c r="L28" s="852">
        <v>15000</v>
      </c>
      <c r="M28" s="852"/>
      <c r="N28" s="112" t="s">
        <v>196</v>
      </c>
      <c r="O28" s="56"/>
      <c r="P28" s="76"/>
      <c r="Q28" s="730" t="s">
        <v>115</v>
      </c>
      <c r="R28" s="730" t="s">
        <v>115</v>
      </c>
      <c r="S28" s="730" t="s">
        <v>115</v>
      </c>
      <c r="T28" s="730" t="s">
        <v>115</v>
      </c>
      <c r="U28" s="730" t="s">
        <v>115</v>
      </c>
      <c r="V28" s="730" t="s">
        <v>115</v>
      </c>
      <c r="W28" s="730" t="s">
        <v>115</v>
      </c>
      <c r="X28" s="90" t="s">
        <v>197</v>
      </c>
      <c r="Y28" s="90" t="s">
        <v>117</v>
      </c>
      <c r="Z28" s="132">
        <v>300</v>
      </c>
      <c r="AA28" s="132">
        <v>300</v>
      </c>
      <c r="AB28" s="132"/>
      <c r="AC28" s="132"/>
      <c r="AD28" s="132"/>
      <c r="AE28" s="132"/>
      <c r="AF28" s="132"/>
      <c r="AG28" s="132"/>
      <c r="AH28" s="132"/>
      <c r="AI28" s="132"/>
      <c r="AJ28" s="132"/>
      <c r="AK28" s="132"/>
      <c r="AL28" s="132"/>
      <c r="AM28" s="132"/>
      <c r="AN28" s="132"/>
      <c r="AO28" s="132">
        <v>15000</v>
      </c>
      <c r="AP28" s="132"/>
      <c r="AQ28" s="90"/>
      <c r="AR28" s="742" t="s">
        <v>117</v>
      </c>
      <c r="AS28" s="34" t="s">
        <v>198</v>
      </c>
      <c r="AT28" s="34" t="s">
        <v>185</v>
      </c>
      <c r="AU28" s="93"/>
      <c r="AV28" s="157"/>
      <c r="AW28" s="158" t="s">
        <v>186</v>
      </c>
      <c r="AX28" s="158" t="s">
        <v>91</v>
      </c>
      <c r="AY28" s="158" t="str">
        <f t="shared" ref="AY28:AY35" si="22">AX28&amp;AW28</f>
        <v>工业中马园</v>
      </c>
      <c r="AZ28" s="158" t="str">
        <f t="shared" si="20"/>
        <v>工业</v>
      </c>
      <c r="BA28" s="159"/>
      <c r="BB28" s="160"/>
      <c r="BC28" s="157"/>
      <c r="BD28" s="157"/>
      <c r="BE28" s="157"/>
      <c r="BF28" s="157"/>
      <c r="BG28" s="157"/>
      <c r="BH28" s="157"/>
      <c r="BI28" s="157" t="str">
        <f t="shared" ref="BI28:BI35" si="23">AT28&amp;H28</f>
        <v>中马钦州产业园区管委3月</v>
      </c>
      <c r="BJ28" s="157" t="s">
        <v>92</v>
      </c>
      <c r="BK28" s="157" t="s">
        <v>93</v>
      </c>
      <c r="BL28" s="201" t="str">
        <f t="shared" ref="BL28:BL35" si="24">BJ28&amp;AT28</f>
        <v>企业中马钦州产业园区管委</v>
      </c>
      <c r="BM28" s="201" t="str">
        <f t="shared" ref="BM28:BM35" si="25">BK28&amp;AT28</f>
        <v>产业中马钦州产业园区管委</v>
      </c>
      <c r="BN28" s="201">
        <f t="shared" si="21"/>
        <v>0</v>
      </c>
    </row>
    <row r="29" s="6" customFormat="1" ht="80.1" customHeight="1" spans="1:66">
      <c r="A29" s="23">
        <f>SUBTOTAL(3,C$11:C29)</f>
        <v>17</v>
      </c>
      <c r="B29" s="60" t="s">
        <v>199</v>
      </c>
      <c r="C29" s="23" t="s">
        <v>79</v>
      </c>
      <c r="D29" s="88" t="s">
        <v>200</v>
      </c>
      <c r="E29" s="35" t="s">
        <v>81</v>
      </c>
      <c r="F29" s="67">
        <v>120000</v>
      </c>
      <c r="G29" s="67"/>
      <c r="H29" s="83" t="s">
        <v>122</v>
      </c>
      <c r="I29" s="83"/>
      <c r="J29" s="578">
        <v>3750</v>
      </c>
      <c r="K29" s="578">
        <v>9375</v>
      </c>
      <c r="L29" s="578">
        <v>15000</v>
      </c>
      <c r="M29" s="67"/>
      <c r="N29" s="123" t="s">
        <v>196</v>
      </c>
      <c r="O29" s="111"/>
      <c r="P29" s="67"/>
      <c r="Q29" s="730" t="s">
        <v>115</v>
      </c>
      <c r="R29" s="730" t="s">
        <v>115</v>
      </c>
      <c r="S29" s="134"/>
      <c r="T29" s="730" t="s">
        <v>115</v>
      </c>
      <c r="U29" s="134"/>
      <c r="V29" s="134"/>
      <c r="W29" s="134"/>
      <c r="X29" s="90" t="s">
        <v>201</v>
      </c>
      <c r="Y29" s="90" t="s">
        <v>202</v>
      </c>
      <c r="Z29" s="132">
        <v>139</v>
      </c>
      <c r="AA29" s="132">
        <v>139</v>
      </c>
      <c r="AB29" s="132"/>
      <c r="AC29" s="132"/>
      <c r="AD29" s="132"/>
      <c r="AE29" s="132"/>
      <c r="AF29" s="132"/>
      <c r="AG29" s="132"/>
      <c r="AH29" s="132"/>
      <c r="AI29" s="132"/>
      <c r="AJ29" s="132"/>
      <c r="AK29" s="132"/>
      <c r="AL29" s="132"/>
      <c r="AM29" s="132"/>
      <c r="AN29" s="132"/>
      <c r="AO29" s="132">
        <v>20000</v>
      </c>
      <c r="AP29" s="132"/>
      <c r="AQ29" s="90"/>
      <c r="AR29" s="112" t="s">
        <v>203</v>
      </c>
      <c r="AS29" s="123" t="s">
        <v>204</v>
      </c>
      <c r="AT29" s="34" t="s">
        <v>185</v>
      </c>
      <c r="AU29" s="55"/>
      <c r="AV29" s="157"/>
      <c r="AW29" s="158" t="s">
        <v>186</v>
      </c>
      <c r="AX29" s="158" t="s">
        <v>91</v>
      </c>
      <c r="AY29" s="158" t="str">
        <f t="shared" si="22"/>
        <v>工业中马园</v>
      </c>
      <c r="AZ29" s="158" t="str">
        <f t="shared" si="20"/>
        <v>工业</v>
      </c>
      <c r="BA29" s="167"/>
      <c r="BB29" s="160"/>
      <c r="BC29" s="157"/>
      <c r="BD29" s="157"/>
      <c r="BE29" s="157"/>
      <c r="BF29" s="157"/>
      <c r="BG29" s="157"/>
      <c r="BH29" s="157"/>
      <c r="BI29" s="157" t="str">
        <f t="shared" si="23"/>
        <v>中马钦州产业园区管委6月</v>
      </c>
      <c r="BJ29" s="157" t="s">
        <v>205</v>
      </c>
      <c r="BK29" s="157" t="s">
        <v>93</v>
      </c>
      <c r="BL29" s="201" t="str">
        <f t="shared" si="24"/>
        <v>政府中马钦州产业园区管委</v>
      </c>
      <c r="BM29" s="201" t="str">
        <f t="shared" si="25"/>
        <v>产业中马钦州产业园区管委</v>
      </c>
      <c r="BN29" s="201">
        <f t="shared" si="21"/>
        <v>0</v>
      </c>
    </row>
    <row r="30" s="6" customFormat="1" ht="80.1" customHeight="1" spans="1:66">
      <c r="A30" s="23">
        <f>SUBTOTAL(3,C$11:C30)</f>
        <v>18</v>
      </c>
      <c r="B30" s="55" t="s">
        <v>206</v>
      </c>
      <c r="C30" s="35" t="s">
        <v>79</v>
      </c>
      <c r="D30" s="34" t="s">
        <v>207</v>
      </c>
      <c r="E30" s="35" t="s">
        <v>208</v>
      </c>
      <c r="F30" s="67">
        <v>114921</v>
      </c>
      <c r="G30" s="36"/>
      <c r="H30" s="83" t="s">
        <v>209</v>
      </c>
      <c r="I30" s="578"/>
      <c r="J30" s="578"/>
      <c r="K30" s="35">
        <v>800</v>
      </c>
      <c r="L30" s="35">
        <v>2500</v>
      </c>
      <c r="M30" s="36"/>
      <c r="N30" s="34" t="s">
        <v>210</v>
      </c>
      <c r="O30" s="111"/>
      <c r="P30" s="67"/>
      <c r="Q30" s="730" t="s">
        <v>115</v>
      </c>
      <c r="R30" s="730" t="s">
        <v>115</v>
      </c>
      <c r="S30" s="134"/>
      <c r="T30" s="730" t="s">
        <v>115</v>
      </c>
      <c r="U30" s="134"/>
      <c r="V30" s="134"/>
      <c r="W30" s="134"/>
      <c r="X30" s="90"/>
      <c r="Y30" s="90"/>
      <c r="Z30" s="132">
        <v>171</v>
      </c>
      <c r="AA30" s="132">
        <v>171</v>
      </c>
      <c r="AB30" s="132"/>
      <c r="AC30" s="132"/>
      <c r="AD30" s="132"/>
      <c r="AE30" s="132"/>
      <c r="AF30" s="132"/>
      <c r="AG30" s="132"/>
      <c r="AH30" s="132"/>
      <c r="AI30" s="132"/>
      <c r="AJ30" s="132"/>
      <c r="AK30" s="132"/>
      <c r="AL30" s="132"/>
      <c r="AM30" s="132"/>
      <c r="AN30" s="132"/>
      <c r="AO30" s="330">
        <v>1950</v>
      </c>
      <c r="AP30" s="330">
        <v>550</v>
      </c>
      <c r="AQ30" s="90"/>
      <c r="AR30" s="112" t="s">
        <v>117</v>
      </c>
      <c r="AS30" s="34" t="s">
        <v>211</v>
      </c>
      <c r="AT30" s="34" t="s">
        <v>185</v>
      </c>
      <c r="AU30" s="55"/>
      <c r="AV30" s="157"/>
      <c r="AW30" s="158" t="s">
        <v>186</v>
      </c>
      <c r="AX30" s="158" t="s">
        <v>91</v>
      </c>
      <c r="AY30" s="158" t="str">
        <f t="shared" si="22"/>
        <v>工业中马园</v>
      </c>
      <c r="AZ30" s="158" t="str">
        <f t="shared" si="20"/>
        <v>工业</v>
      </c>
      <c r="BA30" s="167"/>
      <c r="BB30" s="160"/>
      <c r="BC30" s="157"/>
      <c r="BD30" s="157"/>
      <c r="BE30" s="157"/>
      <c r="BF30" s="157"/>
      <c r="BG30" s="157"/>
      <c r="BH30" s="157"/>
      <c r="BI30" s="157" t="str">
        <f t="shared" si="23"/>
        <v>中马钦州产业园区管委8月</v>
      </c>
      <c r="BJ30" s="157" t="s">
        <v>205</v>
      </c>
      <c r="BK30" s="157" t="s">
        <v>93</v>
      </c>
      <c r="BL30" s="201" t="str">
        <f t="shared" si="24"/>
        <v>政府中马钦州产业园区管委</v>
      </c>
      <c r="BM30" s="201" t="str">
        <f t="shared" si="25"/>
        <v>产业中马钦州产业园区管委</v>
      </c>
      <c r="BN30" s="201">
        <f t="shared" si="21"/>
        <v>0</v>
      </c>
    </row>
    <row r="31" s="7" customFormat="1" ht="81" customHeight="1" spans="1:66">
      <c r="A31" s="23">
        <f>SUBTOTAL(3,C$11:C31)</f>
        <v>19</v>
      </c>
      <c r="B31" s="896" t="s">
        <v>212</v>
      </c>
      <c r="C31" s="894" t="s">
        <v>79</v>
      </c>
      <c r="D31" s="88" t="s">
        <v>213</v>
      </c>
      <c r="E31" s="35" t="s">
        <v>81</v>
      </c>
      <c r="F31" s="852">
        <v>73800</v>
      </c>
      <c r="G31" s="852"/>
      <c r="H31" s="912" t="s">
        <v>195</v>
      </c>
      <c r="I31" s="913">
        <v>4000</v>
      </c>
      <c r="J31" s="913">
        <v>9000</v>
      </c>
      <c r="K31" s="913">
        <v>14000</v>
      </c>
      <c r="L31" s="852">
        <v>20000</v>
      </c>
      <c r="M31" s="852"/>
      <c r="N31" s="112" t="s">
        <v>196</v>
      </c>
      <c r="O31" s="111"/>
      <c r="P31" s="67"/>
      <c r="Q31" s="730" t="s">
        <v>115</v>
      </c>
      <c r="R31" s="730" t="s">
        <v>115</v>
      </c>
      <c r="S31" s="730" t="s">
        <v>115</v>
      </c>
      <c r="T31" s="730" t="s">
        <v>115</v>
      </c>
      <c r="U31" s="730" t="s">
        <v>115</v>
      </c>
      <c r="V31" s="730" t="s">
        <v>115</v>
      </c>
      <c r="W31" s="730" t="s">
        <v>115</v>
      </c>
      <c r="X31" s="898" t="s">
        <v>214</v>
      </c>
      <c r="Y31" s="90" t="s">
        <v>117</v>
      </c>
      <c r="Z31" s="861">
        <v>120</v>
      </c>
      <c r="AA31" s="861">
        <v>120</v>
      </c>
      <c r="AB31" s="861"/>
      <c r="AC31" s="861"/>
      <c r="AD31" s="861"/>
      <c r="AE31" s="861"/>
      <c r="AF31" s="861"/>
      <c r="AG31" s="861"/>
      <c r="AH31" s="861"/>
      <c r="AI31" s="861"/>
      <c r="AJ31" s="861"/>
      <c r="AK31" s="861"/>
      <c r="AL31" s="861"/>
      <c r="AM31" s="861"/>
      <c r="AN31" s="861"/>
      <c r="AO31" s="861">
        <v>20000</v>
      </c>
      <c r="AP31" s="861"/>
      <c r="AQ31" s="912"/>
      <c r="AR31" s="868" t="s">
        <v>117</v>
      </c>
      <c r="AS31" s="918" t="s">
        <v>215</v>
      </c>
      <c r="AT31" s="919" t="s">
        <v>185</v>
      </c>
      <c r="AU31" s="93"/>
      <c r="AV31" s="157"/>
      <c r="AW31" s="158" t="s">
        <v>186</v>
      </c>
      <c r="AX31" s="158" t="s">
        <v>91</v>
      </c>
      <c r="AY31" s="158" t="str">
        <f t="shared" si="22"/>
        <v>工业中马园</v>
      </c>
      <c r="AZ31" s="158" t="str">
        <f t="shared" si="20"/>
        <v>工业</v>
      </c>
      <c r="BA31" s="159"/>
      <c r="BB31" s="160"/>
      <c r="BC31" s="157"/>
      <c r="BD31" s="157"/>
      <c r="BE31" s="157"/>
      <c r="BF31" s="157"/>
      <c r="BG31" s="157"/>
      <c r="BH31" s="157"/>
      <c r="BI31" s="157" t="str">
        <f t="shared" si="23"/>
        <v>中马钦州产业园区管委3月</v>
      </c>
      <c r="BJ31" s="157" t="s">
        <v>92</v>
      </c>
      <c r="BK31" s="157" t="s">
        <v>93</v>
      </c>
      <c r="BL31" s="201" t="str">
        <f t="shared" si="24"/>
        <v>企业中马钦州产业园区管委</v>
      </c>
      <c r="BM31" s="201" t="str">
        <f t="shared" si="25"/>
        <v>产业中马钦州产业园区管委</v>
      </c>
      <c r="BN31" s="201">
        <f t="shared" si="21"/>
        <v>0</v>
      </c>
    </row>
    <row r="32" s="6" customFormat="1" ht="80.1" customHeight="1" spans="1:66">
      <c r="A32" s="23">
        <f>SUBTOTAL(3,C$11:C32)</f>
        <v>20</v>
      </c>
      <c r="B32" s="55" t="s">
        <v>216</v>
      </c>
      <c r="C32" s="35" t="s">
        <v>79</v>
      </c>
      <c r="D32" s="55" t="s">
        <v>217</v>
      </c>
      <c r="E32" s="35" t="s">
        <v>81</v>
      </c>
      <c r="F32" s="36">
        <v>15000</v>
      </c>
      <c r="G32" s="36"/>
      <c r="H32" s="81" t="s">
        <v>195</v>
      </c>
      <c r="I32" s="37">
        <v>500</v>
      </c>
      <c r="J32" s="37">
        <v>1300</v>
      </c>
      <c r="K32" s="37">
        <v>2100</v>
      </c>
      <c r="L32" s="36">
        <v>3000</v>
      </c>
      <c r="M32" s="36"/>
      <c r="N32" s="112" t="s">
        <v>218</v>
      </c>
      <c r="O32" s="36"/>
      <c r="P32" s="858"/>
      <c r="Q32" s="730" t="s">
        <v>115</v>
      </c>
      <c r="R32" s="730" t="s">
        <v>115</v>
      </c>
      <c r="S32" s="730" t="s">
        <v>115</v>
      </c>
      <c r="T32" s="730" t="s">
        <v>115</v>
      </c>
      <c r="U32" s="730" t="s">
        <v>115</v>
      </c>
      <c r="V32" s="832"/>
      <c r="W32" s="832"/>
      <c r="X32" s="90" t="s">
        <v>219</v>
      </c>
      <c r="Y32" s="90" t="s">
        <v>220</v>
      </c>
      <c r="Z32" s="132"/>
      <c r="AA32" s="132"/>
      <c r="AB32" s="132"/>
      <c r="AC32" s="132"/>
      <c r="AD32" s="132"/>
      <c r="AE32" s="132"/>
      <c r="AF32" s="132"/>
      <c r="AG32" s="132"/>
      <c r="AH32" s="132"/>
      <c r="AI32" s="132"/>
      <c r="AJ32" s="132"/>
      <c r="AK32" s="132"/>
      <c r="AL32" s="132"/>
      <c r="AM32" s="132"/>
      <c r="AN32" s="132"/>
      <c r="AO32" s="132">
        <v>3000</v>
      </c>
      <c r="AP32" s="132"/>
      <c r="AQ32" s="90"/>
      <c r="AR32" s="112" t="s">
        <v>117</v>
      </c>
      <c r="AS32" s="34" t="s">
        <v>221</v>
      </c>
      <c r="AT32" s="34" t="s">
        <v>185</v>
      </c>
      <c r="AU32" s="55"/>
      <c r="AV32" s="157"/>
      <c r="AW32" s="158" t="s">
        <v>186</v>
      </c>
      <c r="AX32" s="158" t="s">
        <v>91</v>
      </c>
      <c r="AY32" s="158" t="str">
        <f t="shared" si="22"/>
        <v>工业中马园</v>
      </c>
      <c r="AZ32" s="158" t="str">
        <f t="shared" si="20"/>
        <v>工业</v>
      </c>
      <c r="BA32" s="169"/>
      <c r="BB32" s="165"/>
      <c r="BC32" s="165"/>
      <c r="BD32" s="165"/>
      <c r="BE32" s="169"/>
      <c r="BF32" s="169"/>
      <c r="BG32" s="169"/>
      <c r="BH32" s="183" t="e">
        <f>"高新区（"&amp;SUBTOTAL(3,#REF!)&amp;"个）"</f>
        <v>#REF!</v>
      </c>
      <c r="BI32" s="157" t="str">
        <f t="shared" si="23"/>
        <v>中马钦州产业园区管委3月</v>
      </c>
      <c r="BJ32" s="157" t="s">
        <v>92</v>
      </c>
      <c r="BK32" s="157" t="s">
        <v>93</v>
      </c>
      <c r="BL32" s="201" t="str">
        <f t="shared" si="24"/>
        <v>企业中马钦州产业园区管委</v>
      </c>
      <c r="BM32" s="201" t="str">
        <f t="shared" si="25"/>
        <v>产业中马钦州产业园区管委</v>
      </c>
      <c r="BN32" s="201">
        <f t="shared" si="21"/>
        <v>0</v>
      </c>
    </row>
    <row r="33" ht="80.1" customHeight="1" spans="1:66">
      <c r="A33" s="23">
        <f>SUBTOTAL(3,C$11:C33)</f>
        <v>21</v>
      </c>
      <c r="B33" s="55" t="s">
        <v>222</v>
      </c>
      <c r="C33" s="35" t="s">
        <v>79</v>
      </c>
      <c r="D33" s="55" t="s">
        <v>223</v>
      </c>
      <c r="E33" s="35" t="s">
        <v>81</v>
      </c>
      <c r="F33" s="36">
        <v>13600</v>
      </c>
      <c r="G33" s="36"/>
      <c r="H33" s="83" t="s">
        <v>122</v>
      </c>
      <c r="I33" s="578"/>
      <c r="J33" s="578">
        <v>1800</v>
      </c>
      <c r="K33" s="578">
        <v>4100</v>
      </c>
      <c r="L33" s="36">
        <v>5000</v>
      </c>
      <c r="M33" s="36"/>
      <c r="N33" s="112" t="s">
        <v>189</v>
      </c>
      <c r="O33" s="50"/>
      <c r="P33" s="76"/>
      <c r="Q33" s="730" t="s">
        <v>115</v>
      </c>
      <c r="R33" s="730" t="s">
        <v>115</v>
      </c>
      <c r="S33" s="730" t="s">
        <v>115</v>
      </c>
      <c r="T33" s="132"/>
      <c r="U33" s="132"/>
      <c r="V33" s="730" t="s">
        <v>115</v>
      </c>
      <c r="W33" s="132"/>
      <c r="X33" s="90" t="s">
        <v>224</v>
      </c>
      <c r="Y33" s="90" t="s">
        <v>117</v>
      </c>
      <c r="Z33" s="132">
        <v>30</v>
      </c>
      <c r="AA33" s="132">
        <v>30</v>
      </c>
      <c r="AB33" s="132"/>
      <c r="AC33" s="132"/>
      <c r="AD33" s="132"/>
      <c r="AE33" s="132"/>
      <c r="AF33" s="132"/>
      <c r="AG33" s="132"/>
      <c r="AH33" s="132"/>
      <c r="AI33" s="132"/>
      <c r="AJ33" s="132"/>
      <c r="AK33" s="132"/>
      <c r="AL33" s="132"/>
      <c r="AM33" s="132"/>
      <c r="AN33" s="132"/>
      <c r="AO33" s="132">
        <v>3000</v>
      </c>
      <c r="AP33" s="132"/>
      <c r="AQ33" s="90"/>
      <c r="AR33" s="112" t="s">
        <v>117</v>
      </c>
      <c r="AS33" s="34" t="s">
        <v>225</v>
      </c>
      <c r="AT33" s="34" t="s">
        <v>185</v>
      </c>
      <c r="AU33" s="93"/>
      <c r="AV33" s="157"/>
      <c r="AW33" s="158" t="s">
        <v>186</v>
      </c>
      <c r="AX33" s="158" t="s">
        <v>91</v>
      </c>
      <c r="AY33" s="158" t="str">
        <f t="shared" si="22"/>
        <v>工业中马园</v>
      </c>
      <c r="AZ33" s="158" t="str">
        <f t="shared" si="20"/>
        <v>工业</v>
      </c>
      <c r="BA33" s="159"/>
      <c r="BB33" s="160"/>
      <c r="BC33" s="157"/>
      <c r="BD33" s="157"/>
      <c r="BE33" s="157"/>
      <c r="BF33" s="157"/>
      <c r="BG33" s="157"/>
      <c r="BH33" s="157"/>
      <c r="BI33" s="157" t="str">
        <f t="shared" si="23"/>
        <v>中马钦州产业园区管委6月</v>
      </c>
      <c r="BJ33" s="157" t="s">
        <v>92</v>
      </c>
      <c r="BK33" s="157" t="s">
        <v>93</v>
      </c>
      <c r="BL33" s="201" t="str">
        <f t="shared" si="24"/>
        <v>企业中马钦州产业园区管委</v>
      </c>
      <c r="BM33" s="201" t="str">
        <f t="shared" si="25"/>
        <v>产业中马钦州产业园区管委</v>
      </c>
      <c r="BN33" s="201">
        <f t="shared" si="21"/>
        <v>0</v>
      </c>
    </row>
    <row r="34" ht="80.1" customHeight="1" spans="1:66">
      <c r="A34" s="23">
        <f>SUBTOTAL(3,C$11:C34)</f>
        <v>22</v>
      </c>
      <c r="B34" s="55" t="s">
        <v>226</v>
      </c>
      <c r="C34" s="35" t="s">
        <v>79</v>
      </c>
      <c r="D34" s="55" t="s">
        <v>227</v>
      </c>
      <c r="E34" s="35" t="s">
        <v>81</v>
      </c>
      <c r="F34" s="36">
        <v>10000</v>
      </c>
      <c r="G34" s="36"/>
      <c r="H34" s="156" t="s">
        <v>195</v>
      </c>
      <c r="I34" s="156">
        <v>200</v>
      </c>
      <c r="J34" s="156">
        <v>1100</v>
      </c>
      <c r="K34" s="156">
        <v>2000</v>
      </c>
      <c r="L34" s="36">
        <v>3000</v>
      </c>
      <c r="M34" s="36"/>
      <c r="N34" s="112" t="s">
        <v>228</v>
      </c>
      <c r="O34" s="50"/>
      <c r="P34" s="76"/>
      <c r="Q34" s="134"/>
      <c r="R34" s="134"/>
      <c r="S34" s="134"/>
      <c r="T34" s="134"/>
      <c r="U34" s="134"/>
      <c r="V34" s="134"/>
      <c r="W34" s="134"/>
      <c r="X34" s="90"/>
      <c r="Y34" s="90"/>
      <c r="Z34" s="132"/>
      <c r="AA34" s="132"/>
      <c r="AB34" s="132"/>
      <c r="AC34" s="132"/>
      <c r="AD34" s="132"/>
      <c r="AE34" s="132"/>
      <c r="AF34" s="132"/>
      <c r="AG34" s="132"/>
      <c r="AH34" s="132"/>
      <c r="AI34" s="132"/>
      <c r="AJ34" s="132"/>
      <c r="AK34" s="132"/>
      <c r="AL34" s="132"/>
      <c r="AM34" s="132"/>
      <c r="AN34" s="132"/>
      <c r="AO34" s="132"/>
      <c r="AP34" s="132"/>
      <c r="AQ34" s="90"/>
      <c r="AR34" s="112" t="s">
        <v>117</v>
      </c>
      <c r="AS34" s="34" t="s">
        <v>229</v>
      </c>
      <c r="AT34" s="34" t="s">
        <v>185</v>
      </c>
      <c r="AU34" s="93"/>
      <c r="AV34" s="157"/>
      <c r="AW34" s="158" t="s">
        <v>186</v>
      </c>
      <c r="AX34" s="158" t="s">
        <v>91</v>
      </c>
      <c r="AY34" s="158" t="str">
        <f t="shared" si="22"/>
        <v>工业中马园</v>
      </c>
      <c r="AZ34" s="158" t="str">
        <f t="shared" si="20"/>
        <v>工业</v>
      </c>
      <c r="BA34" s="159"/>
      <c r="BB34" s="160"/>
      <c r="BC34" s="157"/>
      <c r="BD34" s="157"/>
      <c r="BE34" s="157"/>
      <c r="BF34" s="157"/>
      <c r="BG34" s="157"/>
      <c r="BH34" s="157"/>
      <c r="BI34" s="157" t="str">
        <f t="shared" si="23"/>
        <v>中马钦州产业园区管委3月</v>
      </c>
      <c r="BJ34" s="157" t="s">
        <v>92</v>
      </c>
      <c r="BK34" s="157" t="s">
        <v>93</v>
      </c>
      <c r="BL34" s="201" t="str">
        <f t="shared" si="24"/>
        <v>企业中马钦州产业园区管委</v>
      </c>
      <c r="BM34" s="201" t="str">
        <f t="shared" si="25"/>
        <v>产业中马钦州产业园区管委</v>
      </c>
      <c r="BN34" s="201">
        <f t="shared" si="21"/>
        <v>0</v>
      </c>
    </row>
    <row r="35" ht="80.1" customHeight="1" spans="1:66">
      <c r="A35" s="23">
        <f>SUBTOTAL(3,C$11:C35)</f>
        <v>23</v>
      </c>
      <c r="B35" s="55" t="s">
        <v>230</v>
      </c>
      <c r="C35" s="35" t="s">
        <v>79</v>
      </c>
      <c r="D35" s="55" t="s">
        <v>231</v>
      </c>
      <c r="E35" s="35" t="s">
        <v>81</v>
      </c>
      <c r="F35" s="36">
        <v>5000</v>
      </c>
      <c r="G35" s="36"/>
      <c r="H35" s="83" t="s">
        <v>122</v>
      </c>
      <c r="I35" s="578">
        <v>200</v>
      </c>
      <c r="J35" s="578">
        <v>800</v>
      </c>
      <c r="K35" s="578">
        <v>1400</v>
      </c>
      <c r="L35" s="36">
        <v>2000</v>
      </c>
      <c r="M35" s="36"/>
      <c r="N35" s="112" t="s">
        <v>228</v>
      </c>
      <c r="O35" s="50"/>
      <c r="P35" s="76"/>
      <c r="Q35" s="134"/>
      <c r="R35" s="134"/>
      <c r="S35" s="134"/>
      <c r="T35" s="134"/>
      <c r="U35" s="134"/>
      <c r="V35" s="134"/>
      <c r="W35" s="134"/>
      <c r="X35" s="90" t="s">
        <v>232</v>
      </c>
      <c r="Y35" s="90" t="s">
        <v>117</v>
      </c>
      <c r="Z35" s="132"/>
      <c r="AA35" s="132"/>
      <c r="AB35" s="132"/>
      <c r="AC35" s="132"/>
      <c r="AD35" s="132"/>
      <c r="AE35" s="132"/>
      <c r="AF35" s="132"/>
      <c r="AG35" s="132"/>
      <c r="AH35" s="132"/>
      <c r="AI35" s="132"/>
      <c r="AJ35" s="132"/>
      <c r="AK35" s="132"/>
      <c r="AL35" s="132"/>
      <c r="AM35" s="132"/>
      <c r="AN35" s="132"/>
      <c r="AO35" s="132"/>
      <c r="AP35" s="132"/>
      <c r="AQ35" s="90"/>
      <c r="AR35" s="112" t="s">
        <v>117</v>
      </c>
      <c r="AS35" s="34" t="s">
        <v>233</v>
      </c>
      <c r="AT35" s="34" t="s">
        <v>185</v>
      </c>
      <c r="AU35" s="93"/>
      <c r="AV35" s="157"/>
      <c r="AW35" s="158" t="s">
        <v>186</v>
      </c>
      <c r="AX35" s="158" t="s">
        <v>91</v>
      </c>
      <c r="AY35" s="158" t="str">
        <f t="shared" si="22"/>
        <v>工业中马园</v>
      </c>
      <c r="AZ35" s="158" t="str">
        <f t="shared" si="20"/>
        <v>工业</v>
      </c>
      <c r="BA35" s="159"/>
      <c r="BB35" s="160"/>
      <c r="BC35" s="157"/>
      <c r="BD35" s="157"/>
      <c r="BE35" s="157"/>
      <c r="BF35" s="157"/>
      <c r="BG35" s="157"/>
      <c r="BH35" s="157"/>
      <c r="BI35" s="157" t="str">
        <f t="shared" si="23"/>
        <v>中马钦州产业园区管委6月</v>
      </c>
      <c r="BJ35" s="157" t="s">
        <v>92</v>
      </c>
      <c r="BK35" s="157" t="s">
        <v>93</v>
      </c>
      <c r="BL35" s="201" t="str">
        <f t="shared" si="24"/>
        <v>企业中马钦州产业园区管委</v>
      </c>
      <c r="BM35" s="201" t="str">
        <f t="shared" si="25"/>
        <v>产业中马钦州产业园区管委</v>
      </c>
      <c r="BN35" s="201">
        <f t="shared" si="21"/>
        <v>0</v>
      </c>
    </row>
    <row r="36" s="9" customFormat="1" ht="17.25" hidden="1" customHeight="1" spans="1:66">
      <c r="A36" s="23"/>
      <c r="B36" s="908" t="str">
        <f>"高新区（"&amp;SUBTOTAL(3,C37:C40)&amp;"个）"</f>
        <v>高新区（4个）</v>
      </c>
      <c r="C36" s="909"/>
      <c r="D36" s="910"/>
      <c r="E36" s="551"/>
      <c r="F36" s="134">
        <f t="shared" ref="F36:M36" si="26">SUBTOTAL(9,F37:F40)</f>
        <v>222020</v>
      </c>
      <c r="G36" s="134"/>
      <c r="H36" s="134"/>
      <c r="I36" s="134">
        <f t="shared" si="26"/>
        <v>5700</v>
      </c>
      <c r="J36" s="134">
        <f t="shared" si="26"/>
        <v>33000</v>
      </c>
      <c r="K36" s="134">
        <f t="shared" si="26"/>
        <v>52500</v>
      </c>
      <c r="L36" s="134">
        <f t="shared" si="26"/>
        <v>72000</v>
      </c>
      <c r="M36" s="134">
        <f t="shared" si="26"/>
        <v>0</v>
      </c>
      <c r="N36" s="134"/>
      <c r="O36" s="133"/>
      <c r="P36" s="134"/>
      <c r="Q36" s="134"/>
      <c r="R36" s="134"/>
      <c r="S36" s="134"/>
      <c r="T36" s="134"/>
      <c r="U36" s="134"/>
      <c r="V36" s="134"/>
      <c r="W36" s="134"/>
      <c r="X36" s="90"/>
      <c r="Y36" s="90"/>
      <c r="Z36" s="134">
        <f t="shared" ref="Z36:AP36" si="27">SUBTOTAL(9,Z37:Z40)</f>
        <v>105</v>
      </c>
      <c r="AA36" s="134">
        <f t="shared" si="27"/>
        <v>0</v>
      </c>
      <c r="AB36" s="134">
        <f t="shared" si="27"/>
        <v>105</v>
      </c>
      <c r="AC36" s="134">
        <f t="shared" si="27"/>
        <v>0</v>
      </c>
      <c r="AD36" s="134">
        <f t="shared" si="27"/>
        <v>0</v>
      </c>
      <c r="AE36" s="134">
        <f t="shared" si="27"/>
        <v>0</v>
      </c>
      <c r="AF36" s="134">
        <f t="shared" si="27"/>
        <v>0</v>
      </c>
      <c r="AG36" s="134">
        <f t="shared" si="27"/>
        <v>0</v>
      </c>
      <c r="AH36" s="134">
        <f t="shared" si="27"/>
        <v>0</v>
      </c>
      <c r="AI36" s="134">
        <f t="shared" si="27"/>
        <v>0</v>
      </c>
      <c r="AJ36" s="134">
        <f t="shared" si="27"/>
        <v>0</v>
      </c>
      <c r="AK36" s="134">
        <f t="shared" si="27"/>
        <v>0</v>
      </c>
      <c r="AL36" s="134">
        <f t="shared" si="27"/>
        <v>0</v>
      </c>
      <c r="AM36" s="134">
        <f t="shared" si="27"/>
        <v>0</v>
      </c>
      <c r="AN36" s="134">
        <f t="shared" si="27"/>
        <v>0</v>
      </c>
      <c r="AO36" s="134">
        <f t="shared" si="27"/>
        <v>0</v>
      </c>
      <c r="AP36" s="134">
        <f t="shared" si="27"/>
        <v>1000</v>
      </c>
      <c r="AQ36" s="90"/>
      <c r="AR36" s="112"/>
      <c r="AS36" s="591"/>
      <c r="AT36" s="134"/>
      <c r="AU36" s="93"/>
      <c r="AV36" s="165"/>
      <c r="AW36" s="158"/>
      <c r="AX36" s="158"/>
      <c r="AY36" s="158"/>
      <c r="AZ36" s="158"/>
      <c r="BA36" s="169"/>
      <c r="BB36" s="165"/>
      <c r="BC36" s="165"/>
      <c r="BD36" s="165"/>
      <c r="BE36" s="169"/>
      <c r="BF36" s="169"/>
      <c r="BG36" s="169"/>
      <c r="BH36" s="183" t="e">
        <f>"中马园（"&amp;SUBTOTAL(3,#REF!)&amp;"个）"</f>
        <v>#REF!</v>
      </c>
      <c r="BI36" s="165"/>
      <c r="BJ36" s="157"/>
      <c r="BK36" s="157"/>
      <c r="BM36" s="201"/>
      <c r="BN36" s="7"/>
    </row>
    <row r="37" s="6" customFormat="1" ht="80.1" customHeight="1" spans="1:66">
      <c r="A37" s="23">
        <f>SUBTOTAL(3,C$11:C37)</f>
        <v>24</v>
      </c>
      <c r="B37" s="55" t="s">
        <v>234</v>
      </c>
      <c r="C37" s="67" t="s">
        <v>79</v>
      </c>
      <c r="D37" s="60" t="s">
        <v>235</v>
      </c>
      <c r="E37" s="35" t="s">
        <v>112</v>
      </c>
      <c r="F37" s="35">
        <v>100000</v>
      </c>
      <c r="G37" s="35"/>
      <c r="H37" s="83" t="s">
        <v>177</v>
      </c>
      <c r="I37" s="578">
        <v>500</v>
      </c>
      <c r="J37" s="578">
        <v>16000</v>
      </c>
      <c r="K37" s="578">
        <v>25000</v>
      </c>
      <c r="L37" s="67">
        <v>35000</v>
      </c>
      <c r="M37" s="67"/>
      <c r="N37" s="123" t="s">
        <v>236</v>
      </c>
      <c r="O37" s="56"/>
      <c r="P37" s="127"/>
      <c r="Q37" s="115"/>
      <c r="R37" s="115"/>
      <c r="S37" s="115"/>
      <c r="T37" s="115"/>
      <c r="U37" s="115"/>
      <c r="V37" s="115"/>
      <c r="W37" s="115"/>
      <c r="X37" s="90" t="s">
        <v>237</v>
      </c>
      <c r="Y37" s="90" t="s">
        <v>117</v>
      </c>
      <c r="Z37" s="770"/>
      <c r="AA37" s="132"/>
      <c r="AB37" s="132"/>
      <c r="AC37" s="770"/>
      <c r="AD37" s="132"/>
      <c r="AE37" s="132"/>
      <c r="AF37" s="770"/>
      <c r="AG37" s="132"/>
      <c r="AH37" s="132"/>
      <c r="AI37" s="132"/>
      <c r="AJ37" s="132"/>
      <c r="AK37" s="132"/>
      <c r="AL37" s="132"/>
      <c r="AM37" s="132"/>
      <c r="AN37" s="132"/>
      <c r="AO37" s="132"/>
      <c r="AP37" s="132"/>
      <c r="AQ37" s="90"/>
      <c r="AR37" s="112" t="s">
        <v>238</v>
      </c>
      <c r="AS37" s="34" t="s">
        <v>239</v>
      </c>
      <c r="AT37" s="34" t="s">
        <v>240</v>
      </c>
      <c r="AU37" s="93"/>
      <c r="AV37" s="157"/>
      <c r="AW37" s="158" t="s">
        <v>241</v>
      </c>
      <c r="AX37" s="158" t="s">
        <v>91</v>
      </c>
      <c r="AY37" s="158" t="str">
        <f t="shared" ref="AY37:AY40" si="28">AX37&amp;AW37</f>
        <v>工业高新区</v>
      </c>
      <c r="AZ37" s="158" t="str">
        <f t="shared" ref="AZ37:AZ40" si="29">AX37</f>
        <v>工业</v>
      </c>
      <c r="BA37" s="167"/>
      <c r="BB37" s="160"/>
      <c r="BC37" s="157"/>
      <c r="BD37" s="157"/>
      <c r="BE37" s="157"/>
      <c r="BF37" s="157"/>
      <c r="BG37" s="157"/>
      <c r="BH37" s="157"/>
      <c r="BI37" s="157" t="str">
        <f t="shared" ref="BI37:BI40" si="30">AT37&amp;H37</f>
        <v>钦州高新区管委4月</v>
      </c>
      <c r="BJ37" s="157" t="s">
        <v>92</v>
      </c>
      <c r="BK37" s="157" t="s">
        <v>93</v>
      </c>
      <c r="BL37" s="201" t="str">
        <f t="shared" ref="BL37:BL40" si="31">BJ37&amp;AT37</f>
        <v>企业钦州高新区管委</v>
      </c>
      <c r="BM37" s="201" t="str">
        <f t="shared" ref="BM37:BM40" si="32">BK37&amp;AT37</f>
        <v>产业钦州高新区管委</v>
      </c>
      <c r="BN37" s="201">
        <f t="shared" ref="BN37:BN40" si="33">IF(O37&gt;0,1,0)</f>
        <v>0</v>
      </c>
    </row>
    <row r="38" s="6" customFormat="1" ht="80.1" customHeight="1" spans="1:66">
      <c r="A38" s="23">
        <f>SUBTOTAL(3,C$11:C38)</f>
        <v>25</v>
      </c>
      <c r="B38" s="60" t="s">
        <v>242</v>
      </c>
      <c r="C38" s="67" t="s">
        <v>79</v>
      </c>
      <c r="D38" s="88" t="s">
        <v>243</v>
      </c>
      <c r="E38" s="23" t="s">
        <v>81</v>
      </c>
      <c r="F38" s="67">
        <v>86000</v>
      </c>
      <c r="G38" s="67"/>
      <c r="H38" s="81" t="s">
        <v>244</v>
      </c>
      <c r="I38" s="37">
        <v>2000</v>
      </c>
      <c r="J38" s="37">
        <v>10000</v>
      </c>
      <c r="K38" s="37">
        <v>15000</v>
      </c>
      <c r="L38" s="67">
        <v>20000</v>
      </c>
      <c r="M38" s="67"/>
      <c r="N38" s="123" t="s">
        <v>245</v>
      </c>
      <c r="O38" s="56"/>
      <c r="P38" s="127"/>
      <c r="Q38" s="115" t="s">
        <v>115</v>
      </c>
      <c r="R38" s="115"/>
      <c r="S38" s="115"/>
      <c r="T38" s="115"/>
      <c r="U38" s="115"/>
      <c r="V38" s="115"/>
      <c r="W38" s="115"/>
      <c r="X38" s="90" t="s">
        <v>246</v>
      </c>
      <c r="Y38" s="90" t="s">
        <v>117</v>
      </c>
      <c r="Z38" s="132">
        <v>105</v>
      </c>
      <c r="AA38" s="132"/>
      <c r="AB38" s="132">
        <v>105</v>
      </c>
      <c r="AC38" s="770"/>
      <c r="AD38" s="132"/>
      <c r="AE38" s="132"/>
      <c r="AF38" s="770"/>
      <c r="AG38" s="132"/>
      <c r="AH38" s="132"/>
      <c r="AI38" s="132"/>
      <c r="AJ38" s="132"/>
      <c r="AK38" s="132"/>
      <c r="AL38" s="132"/>
      <c r="AM38" s="132"/>
      <c r="AN38" s="132"/>
      <c r="AO38" s="132"/>
      <c r="AP38" s="132"/>
      <c r="AQ38" s="90"/>
      <c r="AR38" s="112" t="s">
        <v>247</v>
      </c>
      <c r="AS38" s="123" t="s">
        <v>248</v>
      </c>
      <c r="AT38" s="34" t="s">
        <v>240</v>
      </c>
      <c r="AU38" s="93" t="s">
        <v>249</v>
      </c>
      <c r="AV38" s="157"/>
      <c r="AW38" s="158" t="s">
        <v>241</v>
      </c>
      <c r="AX38" s="158" t="s">
        <v>91</v>
      </c>
      <c r="AY38" s="158" t="str">
        <f t="shared" si="28"/>
        <v>工业高新区</v>
      </c>
      <c r="AZ38" s="158" t="str">
        <f t="shared" si="29"/>
        <v>工业</v>
      </c>
      <c r="BA38" s="167"/>
      <c r="BB38" s="160"/>
      <c r="BC38" s="157"/>
      <c r="BD38" s="157"/>
      <c r="BE38" s="157"/>
      <c r="BF38" s="157"/>
      <c r="BG38" s="157"/>
      <c r="BH38" s="157"/>
      <c r="BI38" s="157" t="str">
        <f t="shared" si="30"/>
        <v>钦州高新区管委1月</v>
      </c>
      <c r="BJ38" s="157" t="s">
        <v>92</v>
      </c>
      <c r="BK38" s="157" t="s">
        <v>93</v>
      </c>
      <c r="BL38" s="201" t="str">
        <f t="shared" si="31"/>
        <v>企业钦州高新区管委</v>
      </c>
      <c r="BM38" s="201" t="str">
        <f t="shared" si="32"/>
        <v>产业钦州高新区管委</v>
      </c>
      <c r="BN38" s="201">
        <f t="shared" si="33"/>
        <v>0</v>
      </c>
    </row>
    <row r="39" s="6" customFormat="1" ht="80.1" customHeight="1" spans="1:66">
      <c r="A39" s="23">
        <f>SUBTOTAL(3,C$11:C39)</f>
        <v>26</v>
      </c>
      <c r="B39" s="54" t="s">
        <v>250</v>
      </c>
      <c r="C39" s="67" t="s">
        <v>79</v>
      </c>
      <c r="D39" s="54" t="s">
        <v>251</v>
      </c>
      <c r="E39" s="67" t="s">
        <v>81</v>
      </c>
      <c r="F39" s="67">
        <v>29620</v>
      </c>
      <c r="G39" s="67"/>
      <c r="H39" s="81" t="s">
        <v>195</v>
      </c>
      <c r="I39" s="37">
        <v>3000</v>
      </c>
      <c r="J39" s="37">
        <v>6000</v>
      </c>
      <c r="K39" s="37">
        <v>11000</v>
      </c>
      <c r="L39" s="67">
        <v>15000</v>
      </c>
      <c r="M39" s="67"/>
      <c r="N39" s="123" t="s">
        <v>252</v>
      </c>
      <c r="O39" s="56"/>
      <c r="P39" s="127"/>
      <c r="Q39" s="115" t="s">
        <v>115</v>
      </c>
      <c r="R39" s="115" t="s">
        <v>115</v>
      </c>
      <c r="S39" s="115" t="s">
        <v>115</v>
      </c>
      <c r="T39" s="115" t="s">
        <v>115</v>
      </c>
      <c r="U39" s="115"/>
      <c r="V39" s="115"/>
      <c r="W39" s="115"/>
      <c r="X39" s="54" t="s">
        <v>253</v>
      </c>
      <c r="Y39" s="90" t="s">
        <v>117</v>
      </c>
      <c r="Z39" s="770"/>
      <c r="AA39" s="132"/>
      <c r="AB39" s="132"/>
      <c r="AC39" s="770"/>
      <c r="AD39" s="132"/>
      <c r="AE39" s="132"/>
      <c r="AF39" s="770"/>
      <c r="AG39" s="132"/>
      <c r="AH39" s="132"/>
      <c r="AI39" s="132"/>
      <c r="AJ39" s="132"/>
      <c r="AK39" s="132"/>
      <c r="AL39" s="132"/>
      <c r="AM39" s="132"/>
      <c r="AN39" s="132"/>
      <c r="AO39" s="132"/>
      <c r="AP39" s="132">
        <v>1000</v>
      </c>
      <c r="AQ39" s="90"/>
      <c r="AR39" s="112" t="s">
        <v>254</v>
      </c>
      <c r="AS39" s="123" t="s">
        <v>255</v>
      </c>
      <c r="AT39" s="123" t="s">
        <v>240</v>
      </c>
      <c r="AU39" s="93"/>
      <c r="AV39" s="157"/>
      <c r="AW39" s="158" t="s">
        <v>241</v>
      </c>
      <c r="AX39" s="158" t="s">
        <v>91</v>
      </c>
      <c r="AY39" s="158" t="str">
        <f t="shared" si="28"/>
        <v>工业高新区</v>
      </c>
      <c r="AZ39" s="158" t="str">
        <f t="shared" si="29"/>
        <v>工业</v>
      </c>
      <c r="BA39" s="167"/>
      <c r="BB39" s="160"/>
      <c r="BC39" s="157"/>
      <c r="BD39" s="157"/>
      <c r="BE39" s="157"/>
      <c r="BF39" s="157"/>
      <c r="BG39" s="157"/>
      <c r="BH39" s="157"/>
      <c r="BI39" s="157" t="str">
        <f t="shared" si="30"/>
        <v>钦州高新区管委3月</v>
      </c>
      <c r="BJ39" s="157" t="s">
        <v>92</v>
      </c>
      <c r="BK39" s="157" t="s">
        <v>93</v>
      </c>
      <c r="BL39" s="201" t="str">
        <f t="shared" si="31"/>
        <v>企业钦州高新区管委</v>
      </c>
      <c r="BM39" s="201" t="str">
        <f t="shared" si="32"/>
        <v>产业钦州高新区管委</v>
      </c>
      <c r="BN39" s="201">
        <f t="shared" si="33"/>
        <v>0</v>
      </c>
    </row>
    <row r="40" s="6" customFormat="1" ht="80.1" customHeight="1" spans="1:66">
      <c r="A40" s="23">
        <f>SUBTOTAL(3,C$11:C40)</f>
        <v>27</v>
      </c>
      <c r="B40" s="60" t="s">
        <v>256</v>
      </c>
      <c r="C40" s="67" t="s">
        <v>79</v>
      </c>
      <c r="D40" s="88" t="s">
        <v>257</v>
      </c>
      <c r="E40" s="23" t="s">
        <v>81</v>
      </c>
      <c r="F40" s="67">
        <v>6400</v>
      </c>
      <c r="G40" s="67"/>
      <c r="H40" s="81" t="s">
        <v>195</v>
      </c>
      <c r="I40" s="37">
        <v>200</v>
      </c>
      <c r="J40" s="37">
        <v>1000</v>
      </c>
      <c r="K40" s="37">
        <v>1500</v>
      </c>
      <c r="L40" s="67">
        <v>2000</v>
      </c>
      <c r="M40" s="67"/>
      <c r="N40" s="123" t="s">
        <v>258</v>
      </c>
      <c r="O40" s="56"/>
      <c r="P40" s="127"/>
      <c r="Q40" s="115" t="s">
        <v>115</v>
      </c>
      <c r="R40" s="115" t="s">
        <v>115</v>
      </c>
      <c r="S40" s="115" t="s">
        <v>115</v>
      </c>
      <c r="T40" s="115" t="s">
        <v>115</v>
      </c>
      <c r="U40" s="115"/>
      <c r="V40" s="115"/>
      <c r="W40" s="115"/>
      <c r="X40" s="54"/>
      <c r="Y40" s="90" t="s">
        <v>117</v>
      </c>
      <c r="Z40" s="770"/>
      <c r="AA40" s="551"/>
      <c r="AB40" s="551"/>
      <c r="AC40" s="770"/>
      <c r="AD40" s="551"/>
      <c r="AE40" s="551"/>
      <c r="AF40" s="770"/>
      <c r="AG40" s="132"/>
      <c r="AH40" s="132"/>
      <c r="AI40" s="132"/>
      <c r="AJ40" s="132"/>
      <c r="AK40" s="132"/>
      <c r="AL40" s="132"/>
      <c r="AM40" s="132"/>
      <c r="AN40" s="132"/>
      <c r="AO40" s="132"/>
      <c r="AP40" s="132"/>
      <c r="AQ40" s="90"/>
      <c r="AR40" s="112" t="s">
        <v>117</v>
      </c>
      <c r="AS40" s="123" t="s">
        <v>259</v>
      </c>
      <c r="AT40" s="34" t="s">
        <v>240</v>
      </c>
      <c r="AU40" s="93"/>
      <c r="AV40" s="157"/>
      <c r="AW40" s="158" t="s">
        <v>241</v>
      </c>
      <c r="AX40" s="158" t="s">
        <v>91</v>
      </c>
      <c r="AY40" s="158" t="str">
        <f t="shared" si="28"/>
        <v>工业高新区</v>
      </c>
      <c r="AZ40" s="158" t="str">
        <f t="shared" si="29"/>
        <v>工业</v>
      </c>
      <c r="BA40" s="167"/>
      <c r="BB40" s="160"/>
      <c r="BC40" s="157"/>
      <c r="BD40" s="157"/>
      <c r="BE40" s="157"/>
      <c r="BF40" s="157"/>
      <c r="BG40" s="157"/>
      <c r="BH40" s="157"/>
      <c r="BI40" s="157" t="str">
        <f t="shared" si="30"/>
        <v>钦州高新区管委3月</v>
      </c>
      <c r="BJ40" s="157" t="s">
        <v>92</v>
      </c>
      <c r="BK40" s="157" t="s">
        <v>93</v>
      </c>
      <c r="BL40" s="201" t="str">
        <f t="shared" si="31"/>
        <v>企业钦州高新区管委</v>
      </c>
      <c r="BM40" s="201" t="str">
        <f t="shared" si="32"/>
        <v>产业钦州高新区管委</v>
      </c>
      <c r="BN40" s="201">
        <f t="shared" si="33"/>
        <v>0</v>
      </c>
    </row>
    <row r="41" s="9" customFormat="1" ht="20.25" hidden="1" customHeight="1" spans="1:66">
      <c r="A41" s="23"/>
      <c r="B41" s="908" t="str">
        <f>"灵山县（"&amp;SUBTOTAL(3,C42:C51)&amp;"个）"</f>
        <v>灵山县（10个）</v>
      </c>
      <c r="C41" s="909"/>
      <c r="D41" s="910"/>
      <c r="E41" s="551"/>
      <c r="F41" s="134">
        <f t="shared" ref="F41:M41" si="34">SUBTOTAL(9,F42:F51)</f>
        <v>679820</v>
      </c>
      <c r="G41" s="134"/>
      <c r="H41" s="134"/>
      <c r="I41" s="134">
        <f t="shared" si="34"/>
        <v>1000</v>
      </c>
      <c r="J41" s="134">
        <f t="shared" si="34"/>
        <v>13200</v>
      </c>
      <c r="K41" s="134">
        <f t="shared" si="34"/>
        <v>25400</v>
      </c>
      <c r="L41" s="134">
        <f t="shared" si="34"/>
        <v>57350</v>
      </c>
      <c r="M41" s="134">
        <f t="shared" si="34"/>
        <v>0</v>
      </c>
      <c r="N41" s="134"/>
      <c r="O41" s="134">
        <f>SUBTOTAL(9,O76:O76)</f>
        <v>0</v>
      </c>
      <c r="P41" s="134">
        <f>SUBTOTAL(9,P76:P76)</f>
        <v>0</v>
      </c>
      <c r="Q41" s="134"/>
      <c r="R41" s="134"/>
      <c r="S41" s="134"/>
      <c r="T41" s="134"/>
      <c r="U41" s="134"/>
      <c r="V41" s="134"/>
      <c r="W41" s="134"/>
      <c r="X41" s="90"/>
      <c r="Y41" s="90"/>
      <c r="Z41" s="134">
        <f t="shared" ref="Z41:AP41" si="35">SUBTOTAL(9,Z42:Z51)</f>
        <v>4200</v>
      </c>
      <c r="AA41" s="134">
        <f t="shared" si="35"/>
        <v>191</v>
      </c>
      <c r="AB41" s="134">
        <f t="shared" si="35"/>
        <v>4009</v>
      </c>
      <c r="AC41" s="134">
        <f t="shared" si="35"/>
        <v>0</v>
      </c>
      <c r="AD41" s="134">
        <f t="shared" si="35"/>
        <v>0</v>
      </c>
      <c r="AE41" s="134">
        <f t="shared" si="35"/>
        <v>0</v>
      </c>
      <c r="AF41" s="134">
        <f t="shared" si="35"/>
        <v>0</v>
      </c>
      <c r="AG41" s="134">
        <f t="shared" si="35"/>
        <v>0</v>
      </c>
      <c r="AH41" s="134">
        <f t="shared" si="35"/>
        <v>0</v>
      </c>
      <c r="AI41" s="134">
        <f t="shared" si="35"/>
        <v>1374</v>
      </c>
      <c r="AJ41" s="134">
        <f t="shared" si="35"/>
        <v>0</v>
      </c>
      <c r="AK41" s="134">
        <f t="shared" si="35"/>
        <v>1374</v>
      </c>
      <c r="AL41" s="134">
        <f t="shared" si="35"/>
        <v>0</v>
      </c>
      <c r="AM41" s="134">
        <f t="shared" si="35"/>
        <v>0</v>
      </c>
      <c r="AN41" s="134">
        <f t="shared" si="35"/>
        <v>0</v>
      </c>
      <c r="AO41" s="134">
        <f t="shared" si="35"/>
        <v>0</v>
      </c>
      <c r="AP41" s="134">
        <f t="shared" si="35"/>
        <v>0</v>
      </c>
      <c r="AQ41" s="90"/>
      <c r="AR41" s="112"/>
      <c r="AS41" s="591"/>
      <c r="AT41" s="134"/>
      <c r="AU41" s="93"/>
      <c r="AV41" s="165"/>
      <c r="AW41" s="158"/>
      <c r="AX41" s="158"/>
      <c r="AY41" s="158"/>
      <c r="AZ41" s="158"/>
      <c r="BA41" s="169"/>
      <c r="BB41" s="165"/>
      <c r="BC41" s="165"/>
      <c r="BD41" s="165"/>
      <c r="BE41" s="169"/>
      <c r="BF41" s="169"/>
      <c r="BG41" s="169"/>
      <c r="BH41" s="183" t="e">
        <f>"中马园（"&amp;SUBTOTAL(3,#REF!)&amp;"个）"</f>
        <v>#REF!</v>
      </c>
      <c r="BI41" s="165"/>
      <c r="BJ41" s="157"/>
      <c r="BK41" s="157"/>
      <c r="BM41" s="201"/>
      <c r="BN41" s="7"/>
    </row>
    <row r="42" s="6" customFormat="1" ht="153" customHeight="1" spans="1:66">
      <c r="A42" s="23">
        <f>SUBTOTAL(3,C$11:C42)</f>
        <v>28</v>
      </c>
      <c r="B42" s="55" t="s">
        <v>260</v>
      </c>
      <c r="C42" s="35" t="s">
        <v>79</v>
      </c>
      <c r="D42" s="55" t="s">
        <v>261</v>
      </c>
      <c r="E42" s="35" t="s">
        <v>262</v>
      </c>
      <c r="F42" s="36">
        <v>420000</v>
      </c>
      <c r="G42" s="36"/>
      <c r="H42" s="81" t="s">
        <v>263</v>
      </c>
      <c r="I42" s="730"/>
      <c r="J42" s="37">
        <v>6000</v>
      </c>
      <c r="K42" s="37">
        <v>10000</v>
      </c>
      <c r="L42" s="36">
        <v>15000</v>
      </c>
      <c r="M42" s="36"/>
      <c r="N42" s="112" t="s">
        <v>264</v>
      </c>
      <c r="O42" s="56"/>
      <c r="P42" s="127"/>
      <c r="Q42" s="115" t="s">
        <v>115</v>
      </c>
      <c r="R42" s="115" t="s">
        <v>115</v>
      </c>
      <c r="S42" s="115"/>
      <c r="T42" s="115"/>
      <c r="U42" s="115"/>
      <c r="V42" s="115"/>
      <c r="W42" s="115"/>
      <c r="X42" s="90" t="s">
        <v>265</v>
      </c>
      <c r="Y42" s="90" t="s">
        <v>266</v>
      </c>
      <c r="Z42" s="132">
        <v>2000</v>
      </c>
      <c r="AA42" s="132"/>
      <c r="AB42" s="132">
        <v>2000</v>
      </c>
      <c r="AC42" s="132"/>
      <c r="AD42" s="132"/>
      <c r="AE42" s="132"/>
      <c r="AF42" s="132"/>
      <c r="AG42" s="132"/>
      <c r="AH42" s="132"/>
      <c r="AI42" s="132">
        <v>687</v>
      </c>
      <c r="AJ42" s="132"/>
      <c r="AK42" s="132">
        <v>687</v>
      </c>
      <c r="AL42" s="132"/>
      <c r="AM42" s="132"/>
      <c r="AN42" s="132"/>
      <c r="AO42" s="132"/>
      <c r="AP42" s="132"/>
      <c r="AQ42" s="90"/>
      <c r="AR42" s="112" t="s">
        <v>267</v>
      </c>
      <c r="AS42" s="34" t="s">
        <v>268</v>
      </c>
      <c r="AT42" s="34" t="s">
        <v>269</v>
      </c>
      <c r="AU42" s="171"/>
      <c r="AV42" s="157"/>
      <c r="AW42" s="158" t="s">
        <v>270</v>
      </c>
      <c r="AX42" s="158" t="s">
        <v>91</v>
      </c>
      <c r="AY42" s="158" t="str">
        <f t="shared" ref="AY42:AY51" si="36">AX42&amp;AW42</f>
        <v>工业灵山县</v>
      </c>
      <c r="AZ42" s="158" t="str">
        <f t="shared" ref="AZ42:AZ51" si="37">AX42</f>
        <v>工业</v>
      </c>
      <c r="BA42" s="167"/>
      <c r="BB42" s="160"/>
      <c r="BC42" s="157"/>
      <c r="BD42" s="157"/>
      <c r="BE42" s="157"/>
      <c r="BF42" s="157"/>
      <c r="BG42" s="157"/>
      <c r="BH42" s="157"/>
      <c r="BI42" s="157" t="str">
        <f t="shared" ref="BI42:BI51" si="38">AT42&amp;H42</f>
        <v>灵山县人民政府7月</v>
      </c>
      <c r="BJ42" s="157" t="s">
        <v>92</v>
      </c>
      <c r="BK42" s="157" t="s">
        <v>93</v>
      </c>
      <c r="BL42" s="201" t="str">
        <f t="shared" ref="BL42:BL51" si="39">BJ42&amp;AT42</f>
        <v>企业灵山县人民政府</v>
      </c>
      <c r="BM42" s="201" t="str">
        <f t="shared" ref="BM42:BM51" si="40">BK42&amp;AT42</f>
        <v>产业灵山县人民政府</v>
      </c>
      <c r="BN42" s="201">
        <f t="shared" ref="BN42:BN51" si="41">IF(O42&gt;0,1,0)</f>
        <v>0</v>
      </c>
    </row>
    <row r="43" s="6" customFormat="1" ht="98.1" customHeight="1" spans="1:66">
      <c r="A43" s="23">
        <f>SUBTOTAL(3,C$11:C43)</f>
        <v>29</v>
      </c>
      <c r="B43" s="88" t="s">
        <v>271</v>
      </c>
      <c r="C43" s="23" t="s">
        <v>79</v>
      </c>
      <c r="D43" s="88" t="s">
        <v>272</v>
      </c>
      <c r="E43" s="35" t="s">
        <v>81</v>
      </c>
      <c r="F43" s="36">
        <v>105000</v>
      </c>
      <c r="G43" s="36"/>
      <c r="H43" s="81" t="s">
        <v>263</v>
      </c>
      <c r="I43" s="67"/>
      <c r="J43" s="761">
        <v>3500</v>
      </c>
      <c r="K43" s="761">
        <v>7000</v>
      </c>
      <c r="L43" s="257">
        <v>12000</v>
      </c>
      <c r="M43" s="257"/>
      <c r="N43" s="112" t="s">
        <v>273</v>
      </c>
      <c r="O43" s="56"/>
      <c r="P43" s="127"/>
      <c r="Q43" s="115"/>
      <c r="R43" s="115"/>
      <c r="S43" s="115"/>
      <c r="T43" s="115"/>
      <c r="U43" s="115"/>
      <c r="V43" s="115"/>
      <c r="W43" s="115"/>
      <c r="X43" s="90"/>
      <c r="Y43" s="90"/>
      <c r="Z43" s="132">
        <v>2000</v>
      </c>
      <c r="AA43" s="132"/>
      <c r="AB43" s="132">
        <v>2000</v>
      </c>
      <c r="AC43" s="132"/>
      <c r="AD43" s="132"/>
      <c r="AE43" s="132"/>
      <c r="AF43" s="132"/>
      <c r="AG43" s="132"/>
      <c r="AH43" s="132"/>
      <c r="AI43" s="132">
        <v>687</v>
      </c>
      <c r="AJ43" s="132"/>
      <c r="AK43" s="132">
        <v>687</v>
      </c>
      <c r="AL43" s="132"/>
      <c r="AM43" s="132"/>
      <c r="AN43" s="132"/>
      <c r="AO43" s="132"/>
      <c r="AP43" s="132"/>
      <c r="AQ43" s="90"/>
      <c r="AR43" s="66" t="s">
        <v>117</v>
      </c>
      <c r="AS43" s="66" t="s">
        <v>274</v>
      </c>
      <c r="AT43" s="34" t="s">
        <v>269</v>
      </c>
      <c r="AU43" s="171"/>
      <c r="AV43" s="157"/>
      <c r="AW43" s="158" t="s">
        <v>270</v>
      </c>
      <c r="AX43" s="158" t="s">
        <v>91</v>
      </c>
      <c r="AY43" s="158" t="str">
        <f t="shared" si="36"/>
        <v>工业灵山县</v>
      </c>
      <c r="AZ43" s="158" t="str">
        <f t="shared" si="37"/>
        <v>工业</v>
      </c>
      <c r="BA43" s="167"/>
      <c r="BB43" s="160"/>
      <c r="BC43" s="157"/>
      <c r="BD43" s="157"/>
      <c r="BE43" s="157"/>
      <c r="BF43" s="157"/>
      <c r="BG43" s="157"/>
      <c r="BH43" s="157"/>
      <c r="BI43" s="157" t="str">
        <f t="shared" si="38"/>
        <v>灵山县人民政府7月</v>
      </c>
      <c r="BJ43" s="157" t="s">
        <v>92</v>
      </c>
      <c r="BK43" s="157" t="s">
        <v>93</v>
      </c>
      <c r="BL43" s="201" t="str">
        <f t="shared" si="39"/>
        <v>企业灵山县人民政府</v>
      </c>
      <c r="BM43" s="201" t="str">
        <f t="shared" si="40"/>
        <v>产业灵山县人民政府</v>
      </c>
      <c r="BN43" s="201">
        <f t="shared" si="41"/>
        <v>0</v>
      </c>
    </row>
    <row r="44" s="6" customFormat="1" ht="98.25" customHeight="1" spans="1:66">
      <c r="A44" s="23">
        <f>SUBTOTAL(3,C$11:C44)</f>
        <v>30</v>
      </c>
      <c r="B44" s="55" t="s">
        <v>275</v>
      </c>
      <c r="C44" s="35" t="s">
        <v>79</v>
      </c>
      <c r="D44" s="55" t="s">
        <v>276</v>
      </c>
      <c r="E44" s="35" t="s">
        <v>143</v>
      </c>
      <c r="F44" s="35">
        <v>60000</v>
      </c>
      <c r="G44" s="35"/>
      <c r="H44" s="81" t="s">
        <v>177</v>
      </c>
      <c r="I44" s="37">
        <v>1000</v>
      </c>
      <c r="J44" s="37">
        <v>3200</v>
      </c>
      <c r="K44" s="37">
        <v>6400</v>
      </c>
      <c r="L44" s="36">
        <v>8000</v>
      </c>
      <c r="M44" s="36"/>
      <c r="N44" s="112" t="s">
        <v>277</v>
      </c>
      <c r="O44" s="56"/>
      <c r="P44" s="127"/>
      <c r="Q44" s="115" t="s">
        <v>115</v>
      </c>
      <c r="R44" s="115" t="s">
        <v>115</v>
      </c>
      <c r="S44" s="115" t="s">
        <v>115</v>
      </c>
      <c r="T44" s="115" t="s">
        <v>115</v>
      </c>
      <c r="U44" s="115" t="s">
        <v>115</v>
      </c>
      <c r="V44" s="115"/>
      <c r="W44" s="115"/>
      <c r="X44" s="55" t="s">
        <v>278</v>
      </c>
      <c r="Y44" s="90" t="s">
        <v>279</v>
      </c>
      <c r="Z44" s="132">
        <v>200</v>
      </c>
      <c r="AA44" s="132">
        <v>191</v>
      </c>
      <c r="AB44" s="132">
        <v>9</v>
      </c>
      <c r="AC44" s="132"/>
      <c r="AD44" s="132"/>
      <c r="AE44" s="132"/>
      <c r="AF44" s="132"/>
      <c r="AG44" s="132"/>
      <c r="AH44" s="132"/>
      <c r="AI44" s="132"/>
      <c r="AJ44" s="132"/>
      <c r="AK44" s="132"/>
      <c r="AL44" s="132"/>
      <c r="AM44" s="132"/>
      <c r="AN44" s="132"/>
      <c r="AO44" s="132"/>
      <c r="AP44" s="132"/>
      <c r="AQ44" s="90"/>
      <c r="AR44" s="112" t="s">
        <v>117</v>
      </c>
      <c r="AS44" s="34" t="s">
        <v>280</v>
      </c>
      <c r="AT44" s="34" t="s">
        <v>269</v>
      </c>
      <c r="AU44" s="171"/>
      <c r="AV44" s="157"/>
      <c r="AW44" s="158" t="s">
        <v>270</v>
      </c>
      <c r="AX44" s="158" t="s">
        <v>91</v>
      </c>
      <c r="AY44" s="158" t="str">
        <f t="shared" si="36"/>
        <v>工业灵山县</v>
      </c>
      <c r="AZ44" s="158" t="str">
        <f t="shared" si="37"/>
        <v>工业</v>
      </c>
      <c r="BA44" s="167"/>
      <c r="BB44" s="160"/>
      <c r="BC44" s="157"/>
      <c r="BD44" s="157"/>
      <c r="BE44" s="157"/>
      <c r="BF44" s="157"/>
      <c r="BG44" s="157"/>
      <c r="BH44" s="157"/>
      <c r="BI44" s="157" t="str">
        <f t="shared" si="38"/>
        <v>灵山县人民政府4月</v>
      </c>
      <c r="BJ44" s="157" t="s">
        <v>92</v>
      </c>
      <c r="BK44" s="157" t="s">
        <v>93</v>
      </c>
      <c r="BL44" s="201" t="str">
        <f t="shared" si="39"/>
        <v>企业灵山县人民政府</v>
      </c>
      <c r="BM44" s="201" t="str">
        <f t="shared" si="40"/>
        <v>产业灵山县人民政府</v>
      </c>
      <c r="BN44" s="201">
        <f t="shared" si="41"/>
        <v>0</v>
      </c>
    </row>
    <row r="45" s="6" customFormat="1" ht="72" customHeight="1" spans="1:66">
      <c r="A45" s="23">
        <f>SUBTOTAL(3,C$11:C45)</f>
        <v>31</v>
      </c>
      <c r="B45" s="55" t="s">
        <v>281</v>
      </c>
      <c r="C45" s="35" t="s">
        <v>79</v>
      </c>
      <c r="D45" s="55" t="s">
        <v>282</v>
      </c>
      <c r="E45" s="35" t="s">
        <v>112</v>
      </c>
      <c r="F45" s="36">
        <v>30600</v>
      </c>
      <c r="G45" s="36"/>
      <c r="H45" s="83" t="s">
        <v>283</v>
      </c>
      <c r="I45" s="578"/>
      <c r="J45" s="578"/>
      <c r="K45" s="578"/>
      <c r="L45" s="36">
        <v>3000</v>
      </c>
      <c r="M45" s="36"/>
      <c r="N45" s="112" t="s">
        <v>284</v>
      </c>
      <c r="O45" s="56"/>
      <c r="P45" s="127"/>
      <c r="Q45" s="115"/>
      <c r="R45" s="115"/>
      <c r="S45" s="115"/>
      <c r="T45" s="115"/>
      <c r="U45" s="115"/>
      <c r="V45" s="115"/>
      <c r="W45" s="115"/>
      <c r="X45" s="55"/>
      <c r="Y45" s="90"/>
      <c r="Z45" s="132"/>
      <c r="AA45" s="132"/>
      <c r="AB45" s="132"/>
      <c r="AC45" s="132"/>
      <c r="AD45" s="132"/>
      <c r="AE45" s="132"/>
      <c r="AF45" s="132"/>
      <c r="AG45" s="132"/>
      <c r="AH45" s="132"/>
      <c r="AI45" s="132"/>
      <c r="AJ45" s="132"/>
      <c r="AK45" s="132"/>
      <c r="AL45" s="132"/>
      <c r="AM45" s="132"/>
      <c r="AN45" s="132"/>
      <c r="AO45" s="132"/>
      <c r="AP45" s="132"/>
      <c r="AQ45" s="90"/>
      <c r="AR45" s="112" t="s">
        <v>117</v>
      </c>
      <c r="AS45" s="34" t="s">
        <v>285</v>
      </c>
      <c r="AT45" s="34" t="s">
        <v>269</v>
      </c>
      <c r="AU45" s="171"/>
      <c r="AV45" s="157"/>
      <c r="AW45" s="158" t="s">
        <v>270</v>
      </c>
      <c r="AX45" s="158" t="s">
        <v>91</v>
      </c>
      <c r="AY45" s="158" t="str">
        <f t="shared" si="36"/>
        <v>工业灵山县</v>
      </c>
      <c r="AZ45" s="158" t="str">
        <f t="shared" si="37"/>
        <v>工业</v>
      </c>
      <c r="BA45" s="167"/>
      <c r="BB45" s="160"/>
      <c r="BC45" s="157"/>
      <c r="BD45" s="157"/>
      <c r="BE45" s="157"/>
      <c r="BF45" s="157"/>
      <c r="BG45" s="157"/>
      <c r="BH45" s="157"/>
      <c r="BI45" s="157" t="str">
        <f t="shared" si="38"/>
        <v>灵山县人民政府11月</v>
      </c>
      <c r="BJ45" s="157" t="s">
        <v>92</v>
      </c>
      <c r="BK45" s="157" t="s">
        <v>93</v>
      </c>
      <c r="BL45" s="201" t="str">
        <f t="shared" si="39"/>
        <v>企业灵山县人民政府</v>
      </c>
      <c r="BM45" s="201" t="str">
        <f t="shared" si="40"/>
        <v>产业灵山县人民政府</v>
      </c>
      <c r="BN45" s="201">
        <f t="shared" si="41"/>
        <v>0</v>
      </c>
    </row>
    <row r="46" s="6" customFormat="1" ht="60.95" customHeight="1" spans="1:66">
      <c r="A46" s="23">
        <f>SUBTOTAL(3,C$11:C46)</f>
        <v>32</v>
      </c>
      <c r="B46" s="55" t="s">
        <v>286</v>
      </c>
      <c r="C46" s="35" t="s">
        <v>79</v>
      </c>
      <c r="D46" s="55" t="s">
        <v>287</v>
      </c>
      <c r="E46" s="35" t="s">
        <v>112</v>
      </c>
      <c r="F46" s="36">
        <v>33000</v>
      </c>
      <c r="G46" s="36"/>
      <c r="H46" s="83" t="s">
        <v>283</v>
      </c>
      <c r="I46" s="578"/>
      <c r="J46" s="578"/>
      <c r="K46" s="578"/>
      <c r="L46" s="36">
        <v>8000</v>
      </c>
      <c r="M46" s="36"/>
      <c r="N46" s="112" t="s">
        <v>284</v>
      </c>
      <c r="O46" s="56"/>
      <c r="P46" s="127"/>
      <c r="Q46" s="115"/>
      <c r="R46" s="115"/>
      <c r="S46" s="115"/>
      <c r="T46" s="115"/>
      <c r="U46" s="115"/>
      <c r="V46" s="115"/>
      <c r="W46" s="115"/>
      <c r="X46" s="55"/>
      <c r="Y46" s="90"/>
      <c r="Z46" s="132"/>
      <c r="AA46" s="132"/>
      <c r="AB46" s="132"/>
      <c r="AC46" s="132"/>
      <c r="AD46" s="132"/>
      <c r="AE46" s="132"/>
      <c r="AF46" s="132"/>
      <c r="AG46" s="132"/>
      <c r="AH46" s="132"/>
      <c r="AI46" s="132"/>
      <c r="AJ46" s="132"/>
      <c r="AK46" s="132"/>
      <c r="AL46" s="132"/>
      <c r="AM46" s="132"/>
      <c r="AN46" s="132"/>
      <c r="AO46" s="132"/>
      <c r="AP46" s="132"/>
      <c r="AQ46" s="90"/>
      <c r="AR46" s="112" t="s">
        <v>288</v>
      </c>
      <c r="AS46" s="34" t="s">
        <v>289</v>
      </c>
      <c r="AT46" s="34" t="s">
        <v>269</v>
      </c>
      <c r="AU46" s="171"/>
      <c r="AV46" s="157"/>
      <c r="AW46" s="158" t="s">
        <v>270</v>
      </c>
      <c r="AX46" s="158" t="s">
        <v>91</v>
      </c>
      <c r="AY46" s="158" t="str">
        <f t="shared" si="36"/>
        <v>工业灵山县</v>
      </c>
      <c r="AZ46" s="158" t="str">
        <f t="shared" si="37"/>
        <v>工业</v>
      </c>
      <c r="BA46" s="167"/>
      <c r="BB46" s="160"/>
      <c r="BC46" s="157"/>
      <c r="BD46" s="157"/>
      <c r="BE46" s="157"/>
      <c r="BF46" s="157"/>
      <c r="BG46" s="157"/>
      <c r="BH46" s="157"/>
      <c r="BI46" s="157" t="str">
        <f t="shared" si="38"/>
        <v>灵山县人民政府11月</v>
      </c>
      <c r="BJ46" s="157" t="s">
        <v>92</v>
      </c>
      <c r="BK46" s="157" t="s">
        <v>93</v>
      </c>
      <c r="BL46" s="201" t="str">
        <f t="shared" si="39"/>
        <v>企业灵山县人民政府</v>
      </c>
      <c r="BM46" s="201" t="str">
        <f t="shared" si="40"/>
        <v>产业灵山县人民政府</v>
      </c>
      <c r="BN46" s="201">
        <f t="shared" si="41"/>
        <v>0</v>
      </c>
    </row>
    <row r="47" s="6" customFormat="1" ht="80.1" customHeight="1" spans="1:66">
      <c r="A47" s="23">
        <f>SUBTOTAL(3,C$11:C47)</f>
        <v>33</v>
      </c>
      <c r="B47" s="55" t="s">
        <v>290</v>
      </c>
      <c r="C47" s="35" t="s">
        <v>79</v>
      </c>
      <c r="D47" s="55" t="s">
        <v>291</v>
      </c>
      <c r="E47" s="35" t="s">
        <v>112</v>
      </c>
      <c r="F47" s="36">
        <v>10000</v>
      </c>
      <c r="G47" s="36"/>
      <c r="H47" s="83" t="s">
        <v>82</v>
      </c>
      <c r="I47" s="578"/>
      <c r="J47" s="578"/>
      <c r="K47" s="578"/>
      <c r="L47" s="36">
        <v>2000</v>
      </c>
      <c r="M47" s="36"/>
      <c r="N47" s="112" t="s">
        <v>284</v>
      </c>
      <c r="O47" s="56"/>
      <c r="P47" s="127"/>
      <c r="Q47" s="115"/>
      <c r="R47" s="115"/>
      <c r="S47" s="115"/>
      <c r="T47" s="115"/>
      <c r="U47" s="115"/>
      <c r="V47" s="115"/>
      <c r="W47" s="115"/>
      <c r="X47" s="55"/>
      <c r="Y47" s="90"/>
      <c r="Z47" s="132"/>
      <c r="AA47" s="132"/>
      <c r="AB47" s="132"/>
      <c r="AC47" s="132"/>
      <c r="AD47" s="132"/>
      <c r="AE47" s="132"/>
      <c r="AF47" s="132"/>
      <c r="AG47" s="132"/>
      <c r="AH47" s="132"/>
      <c r="AI47" s="132"/>
      <c r="AJ47" s="132"/>
      <c r="AK47" s="132"/>
      <c r="AL47" s="132"/>
      <c r="AM47" s="132"/>
      <c r="AN47" s="132"/>
      <c r="AO47" s="132"/>
      <c r="AP47" s="132"/>
      <c r="AQ47" s="90"/>
      <c r="AR47" s="112" t="s">
        <v>117</v>
      </c>
      <c r="AS47" s="34" t="s">
        <v>285</v>
      </c>
      <c r="AT47" s="34" t="s">
        <v>269</v>
      </c>
      <c r="AU47" s="171"/>
      <c r="AV47" s="157"/>
      <c r="AW47" s="158" t="s">
        <v>270</v>
      </c>
      <c r="AX47" s="158" t="s">
        <v>91</v>
      </c>
      <c r="AY47" s="158" t="str">
        <f t="shared" si="36"/>
        <v>工业灵山县</v>
      </c>
      <c r="AZ47" s="158" t="str">
        <f t="shared" si="37"/>
        <v>工业</v>
      </c>
      <c r="BA47" s="167"/>
      <c r="BB47" s="160"/>
      <c r="BC47" s="157"/>
      <c r="BD47" s="157"/>
      <c r="BE47" s="157"/>
      <c r="BF47" s="157"/>
      <c r="BG47" s="157"/>
      <c r="BH47" s="157"/>
      <c r="BI47" s="157" t="str">
        <f t="shared" si="38"/>
        <v>灵山县人民政府10月</v>
      </c>
      <c r="BJ47" s="157" t="s">
        <v>92</v>
      </c>
      <c r="BK47" s="157" t="s">
        <v>93</v>
      </c>
      <c r="BL47" s="201" t="str">
        <f t="shared" si="39"/>
        <v>企业灵山县人民政府</v>
      </c>
      <c r="BM47" s="201" t="str">
        <f t="shared" si="40"/>
        <v>产业灵山县人民政府</v>
      </c>
      <c r="BN47" s="201">
        <f t="shared" si="41"/>
        <v>0</v>
      </c>
    </row>
    <row r="48" s="6" customFormat="1" ht="66.95" customHeight="1" spans="1:66">
      <c r="A48" s="23">
        <f>SUBTOTAL(3,C$11:C48)</f>
        <v>34</v>
      </c>
      <c r="B48" s="55" t="s">
        <v>292</v>
      </c>
      <c r="C48" s="35" t="s">
        <v>79</v>
      </c>
      <c r="D48" s="55" t="s">
        <v>293</v>
      </c>
      <c r="E48" s="35" t="s">
        <v>81</v>
      </c>
      <c r="F48" s="35">
        <v>10000</v>
      </c>
      <c r="G48" s="35"/>
      <c r="H48" s="81" t="s">
        <v>122</v>
      </c>
      <c r="I48" s="37"/>
      <c r="J48" s="37">
        <v>500</v>
      </c>
      <c r="K48" s="37">
        <v>2000</v>
      </c>
      <c r="L48" s="36">
        <v>4000</v>
      </c>
      <c r="M48" s="36"/>
      <c r="N48" s="112" t="s">
        <v>294</v>
      </c>
      <c r="O48" s="56"/>
      <c r="P48" s="127"/>
      <c r="Q48" s="115"/>
      <c r="R48" s="115"/>
      <c r="S48" s="115"/>
      <c r="T48" s="115"/>
      <c r="U48" s="115"/>
      <c r="V48" s="115"/>
      <c r="W48" s="115"/>
      <c r="X48" s="55"/>
      <c r="Y48" s="90"/>
      <c r="Z48" s="132"/>
      <c r="AA48" s="132"/>
      <c r="AB48" s="132"/>
      <c r="AC48" s="132"/>
      <c r="AD48" s="132"/>
      <c r="AE48" s="132"/>
      <c r="AF48" s="132"/>
      <c r="AG48" s="132"/>
      <c r="AH48" s="132"/>
      <c r="AI48" s="132"/>
      <c r="AJ48" s="132"/>
      <c r="AK48" s="132"/>
      <c r="AL48" s="132"/>
      <c r="AM48" s="132"/>
      <c r="AN48" s="132"/>
      <c r="AO48" s="132"/>
      <c r="AP48" s="132"/>
      <c r="AQ48" s="90"/>
      <c r="AR48" s="112" t="s">
        <v>295</v>
      </c>
      <c r="AS48" s="34" t="s">
        <v>296</v>
      </c>
      <c r="AT48" s="34" t="s">
        <v>269</v>
      </c>
      <c r="AU48" s="171"/>
      <c r="AV48" s="157"/>
      <c r="AW48" s="158" t="s">
        <v>270</v>
      </c>
      <c r="AX48" s="158" t="s">
        <v>91</v>
      </c>
      <c r="AY48" s="158" t="str">
        <f t="shared" si="36"/>
        <v>工业灵山县</v>
      </c>
      <c r="AZ48" s="158" t="str">
        <f t="shared" si="37"/>
        <v>工业</v>
      </c>
      <c r="BA48" s="167"/>
      <c r="BB48" s="160"/>
      <c r="BC48" s="157"/>
      <c r="BD48" s="157"/>
      <c r="BE48" s="157"/>
      <c r="BF48" s="157"/>
      <c r="BG48" s="157"/>
      <c r="BH48" s="157"/>
      <c r="BI48" s="157" t="str">
        <f t="shared" si="38"/>
        <v>灵山县人民政府6月</v>
      </c>
      <c r="BJ48" s="157" t="s">
        <v>92</v>
      </c>
      <c r="BK48" s="157" t="s">
        <v>93</v>
      </c>
      <c r="BL48" s="201" t="str">
        <f t="shared" si="39"/>
        <v>企业灵山县人民政府</v>
      </c>
      <c r="BM48" s="201" t="str">
        <f t="shared" si="40"/>
        <v>产业灵山县人民政府</v>
      </c>
      <c r="BN48" s="201">
        <f t="shared" si="41"/>
        <v>0</v>
      </c>
    </row>
    <row r="49" s="6" customFormat="1" ht="99.95" customHeight="1" spans="1:66">
      <c r="A49" s="23">
        <f>SUBTOTAL(3,C$11:C49)</f>
        <v>35</v>
      </c>
      <c r="B49" s="55" t="s">
        <v>297</v>
      </c>
      <c r="C49" s="35" t="s">
        <v>79</v>
      </c>
      <c r="D49" s="55" t="s">
        <v>298</v>
      </c>
      <c r="E49" s="35" t="s">
        <v>112</v>
      </c>
      <c r="F49" s="36">
        <v>6170</v>
      </c>
      <c r="G49" s="36"/>
      <c r="H49" s="83" t="s">
        <v>131</v>
      </c>
      <c r="I49" s="578"/>
      <c r="J49" s="578"/>
      <c r="K49" s="578"/>
      <c r="L49" s="36">
        <v>500</v>
      </c>
      <c r="M49" s="36"/>
      <c r="N49" s="112" t="s">
        <v>284</v>
      </c>
      <c r="O49" s="56"/>
      <c r="P49" s="127"/>
      <c r="Q49" s="115"/>
      <c r="R49" s="115"/>
      <c r="S49" s="115"/>
      <c r="T49" s="115"/>
      <c r="U49" s="115"/>
      <c r="V49" s="115"/>
      <c r="W49" s="115"/>
      <c r="X49" s="55"/>
      <c r="Y49" s="90"/>
      <c r="Z49" s="132"/>
      <c r="AA49" s="132"/>
      <c r="AB49" s="132"/>
      <c r="AC49" s="132"/>
      <c r="AD49" s="132"/>
      <c r="AE49" s="132"/>
      <c r="AF49" s="132"/>
      <c r="AG49" s="132"/>
      <c r="AH49" s="132"/>
      <c r="AI49" s="132"/>
      <c r="AJ49" s="132"/>
      <c r="AK49" s="132"/>
      <c r="AL49" s="132"/>
      <c r="AM49" s="132"/>
      <c r="AN49" s="132"/>
      <c r="AO49" s="132"/>
      <c r="AP49" s="132"/>
      <c r="AQ49" s="90"/>
      <c r="AR49" s="112" t="s">
        <v>117</v>
      </c>
      <c r="AS49" s="34" t="s">
        <v>299</v>
      </c>
      <c r="AT49" s="34" t="s">
        <v>269</v>
      </c>
      <c r="AU49" s="171"/>
      <c r="AV49" s="157"/>
      <c r="AW49" s="158" t="s">
        <v>270</v>
      </c>
      <c r="AX49" s="158" t="s">
        <v>91</v>
      </c>
      <c r="AY49" s="158" t="str">
        <f t="shared" si="36"/>
        <v>工业灵山县</v>
      </c>
      <c r="AZ49" s="158" t="str">
        <f t="shared" si="37"/>
        <v>工业</v>
      </c>
      <c r="BA49" s="167"/>
      <c r="BB49" s="160"/>
      <c r="BC49" s="157"/>
      <c r="BD49" s="157"/>
      <c r="BE49" s="157"/>
      <c r="BF49" s="157"/>
      <c r="BG49" s="157"/>
      <c r="BH49" s="157"/>
      <c r="BI49" s="157" t="str">
        <f t="shared" si="38"/>
        <v>灵山县人民政府12月</v>
      </c>
      <c r="BJ49" s="157" t="s">
        <v>92</v>
      </c>
      <c r="BK49" s="157" t="s">
        <v>93</v>
      </c>
      <c r="BL49" s="201" t="str">
        <f t="shared" si="39"/>
        <v>企业灵山县人民政府</v>
      </c>
      <c r="BM49" s="201" t="str">
        <f t="shared" si="40"/>
        <v>产业灵山县人民政府</v>
      </c>
      <c r="BN49" s="201">
        <f t="shared" si="41"/>
        <v>0</v>
      </c>
    </row>
    <row r="50" s="6" customFormat="1" ht="69.95" customHeight="1" spans="1:66">
      <c r="A50" s="23">
        <f>SUBTOTAL(3,C$11:C50)</f>
        <v>36</v>
      </c>
      <c r="B50" s="55" t="s">
        <v>300</v>
      </c>
      <c r="C50" s="35" t="s">
        <v>79</v>
      </c>
      <c r="D50" s="55" t="s">
        <v>301</v>
      </c>
      <c r="E50" s="35" t="s">
        <v>112</v>
      </c>
      <c r="F50" s="36">
        <v>3050</v>
      </c>
      <c r="G50" s="36"/>
      <c r="H50" s="83" t="s">
        <v>82</v>
      </c>
      <c r="I50" s="578"/>
      <c r="J50" s="578"/>
      <c r="K50" s="578"/>
      <c r="L50" s="36">
        <v>2850</v>
      </c>
      <c r="M50" s="36"/>
      <c r="N50" s="58" t="s">
        <v>302</v>
      </c>
      <c r="O50" s="56"/>
      <c r="P50" s="127"/>
      <c r="Q50" s="115"/>
      <c r="R50" s="115"/>
      <c r="S50" s="115"/>
      <c r="T50" s="115"/>
      <c r="U50" s="115"/>
      <c r="V50" s="115"/>
      <c r="W50" s="115"/>
      <c r="X50" s="55"/>
      <c r="Y50" s="90"/>
      <c r="Z50" s="132"/>
      <c r="AA50" s="132"/>
      <c r="AB50" s="132"/>
      <c r="AC50" s="132"/>
      <c r="AD50" s="132"/>
      <c r="AE50" s="132"/>
      <c r="AF50" s="132"/>
      <c r="AG50" s="132"/>
      <c r="AH50" s="132"/>
      <c r="AI50" s="132"/>
      <c r="AJ50" s="132"/>
      <c r="AK50" s="132"/>
      <c r="AL50" s="132"/>
      <c r="AM50" s="132"/>
      <c r="AN50" s="132"/>
      <c r="AO50" s="132"/>
      <c r="AP50" s="132"/>
      <c r="AQ50" s="90"/>
      <c r="AR50" s="112" t="s">
        <v>303</v>
      </c>
      <c r="AS50" s="34" t="s">
        <v>304</v>
      </c>
      <c r="AT50" s="34" t="s">
        <v>269</v>
      </c>
      <c r="AU50" s="171"/>
      <c r="AV50" s="157"/>
      <c r="AW50" s="158" t="s">
        <v>270</v>
      </c>
      <c r="AX50" s="158" t="s">
        <v>91</v>
      </c>
      <c r="AY50" s="158" t="str">
        <f t="shared" si="36"/>
        <v>工业灵山县</v>
      </c>
      <c r="AZ50" s="158" t="str">
        <f t="shared" si="37"/>
        <v>工业</v>
      </c>
      <c r="BA50" s="167"/>
      <c r="BB50" s="160"/>
      <c r="BC50" s="157"/>
      <c r="BD50" s="157"/>
      <c r="BE50" s="157"/>
      <c r="BF50" s="157"/>
      <c r="BG50" s="157"/>
      <c r="BH50" s="157"/>
      <c r="BI50" s="157" t="str">
        <f t="shared" si="38"/>
        <v>灵山县人民政府10月</v>
      </c>
      <c r="BJ50" s="157" t="s">
        <v>92</v>
      </c>
      <c r="BK50" s="157" t="s">
        <v>93</v>
      </c>
      <c r="BL50" s="201" t="str">
        <f t="shared" si="39"/>
        <v>企业灵山县人民政府</v>
      </c>
      <c r="BM50" s="201" t="str">
        <f t="shared" si="40"/>
        <v>产业灵山县人民政府</v>
      </c>
      <c r="BN50" s="201">
        <f t="shared" si="41"/>
        <v>0</v>
      </c>
    </row>
    <row r="51" s="6" customFormat="1" ht="69.95" customHeight="1" spans="1:66">
      <c r="A51" s="23">
        <f>SUBTOTAL(3,C$11:C51)</f>
        <v>37</v>
      </c>
      <c r="B51" s="55" t="s">
        <v>305</v>
      </c>
      <c r="C51" s="35" t="s">
        <v>79</v>
      </c>
      <c r="D51" s="55" t="s">
        <v>306</v>
      </c>
      <c r="E51" s="35">
        <v>2019</v>
      </c>
      <c r="F51" s="36">
        <v>2000</v>
      </c>
      <c r="G51" s="36"/>
      <c r="H51" s="81" t="s">
        <v>82</v>
      </c>
      <c r="I51" s="578"/>
      <c r="J51" s="578"/>
      <c r="K51" s="578"/>
      <c r="L51" s="36">
        <v>2000</v>
      </c>
      <c r="M51" s="36"/>
      <c r="N51" s="58" t="s">
        <v>307</v>
      </c>
      <c r="O51" s="56"/>
      <c r="P51" s="127"/>
      <c r="Q51" s="115"/>
      <c r="R51" s="115"/>
      <c r="S51" s="115"/>
      <c r="T51" s="115"/>
      <c r="U51" s="115"/>
      <c r="V51" s="115"/>
      <c r="W51" s="115"/>
      <c r="X51" s="55"/>
      <c r="Y51" s="90"/>
      <c r="Z51" s="132"/>
      <c r="AA51" s="132"/>
      <c r="AB51" s="132"/>
      <c r="AC51" s="132"/>
      <c r="AD51" s="132"/>
      <c r="AE51" s="132"/>
      <c r="AF51" s="132"/>
      <c r="AG51" s="132"/>
      <c r="AH51" s="132"/>
      <c r="AI51" s="132"/>
      <c r="AJ51" s="132"/>
      <c r="AK51" s="132"/>
      <c r="AL51" s="132"/>
      <c r="AM51" s="132"/>
      <c r="AN51" s="132"/>
      <c r="AO51" s="132"/>
      <c r="AP51" s="132"/>
      <c r="AQ51" s="90"/>
      <c r="AR51" s="112" t="s">
        <v>308</v>
      </c>
      <c r="AS51" s="34" t="s">
        <v>309</v>
      </c>
      <c r="AT51" s="34" t="s">
        <v>269</v>
      </c>
      <c r="AU51" s="171"/>
      <c r="AV51" s="157"/>
      <c r="AW51" s="158" t="s">
        <v>270</v>
      </c>
      <c r="AX51" s="158" t="s">
        <v>91</v>
      </c>
      <c r="AY51" s="158" t="str">
        <f t="shared" si="36"/>
        <v>工业灵山县</v>
      </c>
      <c r="AZ51" s="158" t="str">
        <f t="shared" si="37"/>
        <v>工业</v>
      </c>
      <c r="BA51" s="167"/>
      <c r="BB51" s="160"/>
      <c r="BC51" s="157"/>
      <c r="BD51" s="157"/>
      <c r="BE51" s="157"/>
      <c r="BF51" s="157"/>
      <c r="BG51" s="157"/>
      <c r="BH51" s="157"/>
      <c r="BI51" s="157" t="str">
        <f t="shared" si="38"/>
        <v>灵山县人民政府10月</v>
      </c>
      <c r="BJ51" s="157" t="s">
        <v>92</v>
      </c>
      <c r="BK51" s="157" t="s">
        <v>93</v>
      </c>
      <c r="BL51" s="201" t="str">
        <f t="shared" si="39"/>
        <v>企业灵山县人民政府</v>
      </c>
      <c r="BM51" s="201" t="str">
        <f t="shared" si="40"/>
        <v>产业灵山县人民政府</v>
      </c>
      <c r="BN51" s="201">
        <f t="shared" si="41"/>
        <v>0</v>
      </c>
    </row>
    <row r="52" s="9" customFormat="1" ht="19.5" hidden="1" customHeight="1" spans="1:66">
      <c r="A52" s="23"/>
      <c r="B52" s="908" t="str">
        <f>"浦北县（"&amp;SUBTOTAL(3,C53:C60)&amp;"个）"</f>
        <v>浦北县（8个）</v>
      </c>
      <c r="C52" s="909"/>
      <c r="D52" s="910"/>
      <c r="E52" s="551"/>
      <c r="F52" s="134">
        <f t="shared" ref="F52:M52" si="42">SUBTOTAL(9,F53:F60)</f>
        <v>125275</v>
      </c>
      <c r="G52" s="134"/>
      <c r="H52" s="134"/>
      <c r="I52" s="134">
        <f t="shared" si="42"/>
        <v>1600</v>
      </c>
      <c r="J52" s="134">
        <f t="shared" si="42"/>
        <v>4300</v>
      </c>
      <c r="K52" s="134">
        <f t="shared" si="42"/>
        <v>10650</v>
      </c>
      <c r="L52" s="134">
        <f t="shared" si="42"/>
        <v>25500</v>
      </c>
      <c r="M52" s="134">
        <f t="shared" si="42"/>
        <v>0</v>
      </c>
      <c r="N52" s="134"/>
      <c r="O52" s="134"/>
      <c r="P52" s="134"/>
      <c r="Q52" s="134"/>
      <c r="R52" s="134"/>
      <c r="S52" s="134"/>
      <c r="T52" s="134"/>
      <c r="U52" s="134"/>
      <c r="V52" s="134"/>
      <c r="W52" s="134"/>
      <c r="X52" s="90"/>
      <c r="Y52" s="90"/>
      <c r="Z52" s="134">
        <f t="shared" ref="Z52:AP52" si="43">SUBTOTAL(9,Z53:Z60)</f>
        <v>635</v>
      </c>
      <c r="AA52" s="134">
        <f t="shared" si="43"/>
        <v>425</v>
      </c>
      <c r="AB52" s="134">
        <f t="shared" si="43"/>
        <v>210</v>
      </c>
      <c r="AC52" s="134">
        <f t="shared" si="43"/>
        <v>0</v>
      </c>
      <c r="AD52" s="134">
        <f t="shared" si="43"/>
        <v>0</v>
      </c>
      <c r="AE52" s="134">
        <f t="shared" si="43"/>
        <v>0</v>
      </c>
      <c r="AF52" s="134">
        <f t="shared" si="43"/>
        <v>0</v>
      </c>
      <c r="AG52" s="134">
        <f t="shared" si="43"/>
        <v>0</v>
      </c>
      <c r="AH52" s="134">
        <f t="shared" si="43"/>
        <v>0</v>
      </c>
      <c r="AI52" s="134">
        <f t="shared" si="43"/>
        <v>0</v>
      </c>
      <c r="AJ52" s="134">
        <f t="shared" si="43"/>
        <v>0</v>
      </c>
      <c r="AK52" s="134">
        <f t="shared" si="43"/>
        <v>0</v>
      </c>
      <c r="AL52" s="134">
        <f t="shared" si="43"/>
        <v>0</v>
      </c>
      <c r="AM52" s="134">
        <f t="shared" si="43"/>
        <v>0</v>
      </c>
      <c r="AN52" s="134">
        <f t="shared" si="43"/>
        <v>0</v>
      </c>
      <c r="AO52" s="134">
        <f t="shared" si="43"/>
        <v>0</v>
      </c>
      <c r="AP52" s="134">
        <f t="shared" si="43"/>
        <v>0</v>
      </c>
      <c r="AQ52" s="90"/>
      <c r="AR52" s="112"/>
      <c r="AS52" s="591"/>
      <c r="AT52" s="134"/>
      <c r="AU52" s="93"/>
      <c r="AV52" s="165"/>
      <c r="AW52" s="158"/>
      <c r="AX52" s="158"/>
      <c r="AY52" s="158"/>
      <c r="AZ52" s="158"/>
      <c r="BA52" s="169"/>
      <c r="BB52" s="165"/>
      <c r="BC52" s="165"/>
      <c r="BD52" s="165"/>
      <c r="BE52" s="169"/>
      <c r="BF52" s="169"/>
      <c r="BG52" s="169"/>
      <c r="BH52" s="183" t="e">
        <f>"钦南区（"&amp;SUBTOTAL(3,#REF!)&amp;"个）"</f>
        <v>#REF!</v>
      </c>
      <c r="BI52" s="165"/>
      <c r="BJ52" s="157"/>
      <c r="BK52" s="157"/>
      <c r="BM52" s="201"/>
      <c r="BN52" s="7"/>
    </row>
    <row r="53" ht="69.95" customHeight="1" spans="1:66">
      <c r="A53" s="23">
        <f>SUBTOTAL(3,C$11:C53)</f>
        <v>38</v>
      </c>
      <c r="B53" s="668" t="s">
        <v>310</v>
      </c>
      <c r="C53" s="35" t="s">
        <v>79</v>
      </c>
      <c r="D53" s="232" t="s">
        <v>311</v>
      </c>
      <c r="E53" s="35" t="s">
        <v>112</v>
      </c>
      <c r="F53" s="35">
        <v>20000</v>
      </c>
      <c r="G53" s="35"/>
      <c r="H53" s="83" t="s">
        <v>195</v>
      </c>
      <c r="I53" s="578">
        <v>1000</v>
      </c>
      <c r="J53" s="578">
        <v>2000</v>
      </c>
      <c r="K53" s="578">
        <v>3500</v>
      </c>
      <c r="L53" s="35">
        <v>8000</v>
      </c>
      <c r="M53" s="35"/>
      <c r="N53" s="762" t="s">
        <v>312</v>
      </c>
      <c r="O53" s="111"/>
      <c r="P53" s="67"/>
      <c r="Q53" s="134" t="s">
        <v>115</v>
      </c>
      <c r="R53" s="134" t="s">
        <v>115</v>
      </c>
      <c r="S53" s="134" t="s">
        <v>115</v>
      </c>
      <c r="T53" s="134"/>
      <c r="U53" s="134"/>
      <c r="V53" s="134" t="s">
        <v>115</v>
      </c>
      <c r="W53" s="134" t="s">
        <v>115</v>
      </c>
      <c r="X53" s="55" t="s">
        <v>313</v>
      </c>
      <c r="Y53" s="55" t="s">
        <v>314</v>
      </c>
      <c r="Z53" s="132">
        <v>100</v>
      </c>
      <c r="AA53" s="132">
        <v>100</v>
      </c>
      <c r="AB53" s="132"/>
      <c r="AC53" s="132"/>
      <c r="AD53" s="132"/>
      <c r="AE53" s="132"/>
      <c r="AF53" s="132"/>
      <c r="AG53" s="132"/>
      <c r="AH53" s="132"/>
      <c r="AI53" s="132"/>
      <c r="AJ53" s="132"/>
      <c r="AK53" s="132"/>
      <c r="AL53" s="132"/>
      <c r="AM53" s="132"/>
      <c r="AN53" s="132"/>
      <c r="AO53" s="132"/>
      <c r="AP53" s="132"/>
      <c r="AQ53" s="90"/>
      <c r="AR53" s="34" t="s">
        <v>315</v>
      </c>
      <c r="AS53" s="123" t="s">
        <v>316</v>
      </c>
      <c r="AT53" s="34" t="s">
        <v>317</v>
      </c>
      <c r="AU53" s="93"/>
      <c r="AV53" s="157"/>
      <c r="AW53" s="158" t="s">
        <v>318</v>
      </c>
      <c r="AX53" s="158" t="s">
        <v>91</v>
      </c>
      <c r="AY53" s="158" t="str">
        <f t="shared" ref="AY53:AY60" si="44">AX53&amp;AW53</f>
        <v>工业浦北县</v>
      </c>
      <c r="AZ53" s="158" t="str">
        <f t="shared" ref="AZ53:AZ60" si="45">AX53</f>
        <v>工业</v>
      </c>
      <c r="BA53" s="159"/>
      <c r="BB53" s="160"/>
      <c r="BC53" s="157"/>
      <c r="BD53" s="157"/>
      <c r="BE53" s="157"/>
      <c r="BF53" s="157"/>
      <c r="BG53" s="157"/>
      <c r="BH53" s="157"/>
      <c r="BI53" s="157" t="str">
        <f t="shared" ref="BI53:BI60" si="46">AT53&amp;H53</f>
        <v>浦北县人民政府3月</v>
      </c>
      <c r="BJ53" s="157" t="s">
        <v>92</v>
      </c>
      <c r="BK53" s="157" t="s">
        <v>93</v>
      </c>
      <c r="BL53" s="201" t="str">
        <f t="shared" ref="BL53:BL60" si="47">BJ53&amp;AT53</f>
        <v>企业浦北县人民政府</v>
      </c>
      <c r="BM53" s="201" t="str">
        <f t="shared" ref="BM53:BM60" si="48">BK53&amp;AT53</f>
        <v>产业浦北县人民政府</v>
      </c>
      <c r="BN53" s="201">
        <f t="shared" ref="BN53:BN60" si="49">IF(O53&gt;0,1,0)</f>
        <v>0</v>
      </c>
    </row>
    <row r="54" ht="69.95" customHeight="1" spans="1:66">
      <c r="A54" s="23">
        <f>SUBTOTAL(3,C$11:C54)</f>
        <v>39</v>
      </c>
      <c r="B54" s="55" t="s">
        <v>319</v>
      </c>
      <c r="C54" s="35" t="s">
        <v>79</v>
      </c>
      <c r="D54" s="55" t="s">
        <v>320</v>
      </c>
      <c r="E54" s="35" t="s">
        <v>81</v>
      </c>
      <c r="F54" s="36">
        <v>65000</v>
      </c>
      <c r="G54" s="36"/>
      <c r="H54" s="81" t="s">
        <v>209</v>
      </c>
      <c r="I54" s="81"/>
      <c r="J54" s="81"/>
      <c r="K54" s="37">
        <v>800</v>
      </c>
      <c r="L54" s="36">
        <v>3000</v>
      </c>
      <c r="M54" s="36"/>
      <c r="N54" s="112" t="s">
        <v>321</v>
      </c>
      <c r="O54" s="111"/>
      <c r="P54" s="67"/>
      <c r="Q54" s="134" t="s">
        <v>115</v>
      </c>
      <c r="R54" s="134" t="s">
        <v>115</v>
      </c>
      <c r="S54" s="134" t="s">
        <v>115</v>
      </c>
      <c r="T54" s="134"/>
      <c r="U54" s="134"/>
      <c r="V54" s="134"/>
      <c r="W54" s="134"/>
      <c r="X54" s="90" t="s">
        <v>322</v>
      </c>
      <c r="Y54" s="55" t="s">
        <v>117</v>
      </c>
      <c r="Z54" s="132">
        <v>110</v>
      </c>
      <c r="AA54" s="132"/>
      <c r="AB54" s="132">
        <v>110</v>
      </c>
      <c r="AC54" s="132"/>
      <c r="AD54" s="132"/>
      <c r="AE54" s="132"/>
      <c r="AF54" s="132"/>
      <c r="AG54" s="132"/>
      <c r="AH54" s="132"/>
      <c r="AI54" s="132"/>
      <c r="AJ54" s="132"/>
      <c r="AK54" s="132"/>
      <c r="AL54" s="132"/>
      <c r="AM54" s="132"/>
      <c r="AN54" s="132"/>
      <c r="AO54" s="132"/>
      <c r="AP54" s="132"/>
      <c r="AQ54" s="90"/>
      <c r="AR54" s="112" t="s">
        <v>323</v>
      </c>
      <c r="AS54" s="34" t="s">
        <v>324</v>
      </c>
      <c r="AT54" s="34" t="s">
        <v>317</v>
      </c>
      <c r="AU54" s="93"/>
      <c r="AV54" s="157"/>
      <c r="AW54" s="158" t="s">
        <v>318</v>
      </c>
      <c r="AX54" s="158" t="s">
        <v>91</v>
      </c>
      <c r="AY54" s="158" t="str">
        <f t="shared" si="44"/>
        <v>工业浦北县</v>
      </c>
      <c r="AZ54" s="158" t="str">
        <f t="shared" si="45"/>
        <v>工业</v>
      </c>
      <c r="BA54" s="159"/>
      <c r="BB54" s="160"/>
      <c r="BC54" s="157"/>
      <c r="BD54" s="157"/>
      <c r="BE54" s="157"/>
      <c r="BF54" s="157"/>
      <c r="BG54" s="157"/>
      <c r="BH54" s="157"/>
      <c r="BI54" s="157" t="str">
        <f t="shared" si="46"/>
        <v>浦北县人民政府8月</v>
      </c>
      <c r="BJ54" s="157" t="s">
        <v>92</v>
      </c>
      <c r="BK54" s="157" t="s">
        <v>93</v>
      </c>
      <c r="BL54" s="201" t="str">
        <f t="shared" si="47"/>
        <v>企业浦北县人民政府</v>
      </c>
      <c r="BM54" s="201" t="str">
        <f t="shared" si="48"/>
        <v>产业浦北县人民政府</v>
      </c>
      <c r="BN54" s="201">
        <f t="shared" si="49"/>
        <v>0</v>
      </c>
    </row>
    <row r="55" ht="80.1" customHeight="1" spans="1:66">
      <c r="A55" s="23">
        <f>SUBTOTAL(3,C$11:C55)</f>
        <v>40</v>
      </c>
      <c r="B55" s="55" t="s">
        <v>325</v>
      </c>
      <c r="C55" s="35" t="s">
        <v>79</v>
      </c>
      <c r="D55" s="55" t="s">
        <v>326</v>
      </c>
      <c r="E55" s="35" t="s">
        <v>112</v>
      </c>
      <c r="F55" s="36">
        <v>10825</v>
      </c>
      <c r="G55" s="36"/>
      <c r="H55" s="81" t="s">
        <v>177</v>
      </c>
      <c r="I55" s="37">
        <v>500</v>
      </c>
      <c r="J55" s="37">
        <v>1100</v>
      </c>
      <c r="K55" s="37">
        <v>1900</v>
      </c>
      <c r="L55" s="36">
        <v>5000</v>
      </c>
      <c r="M55" s="36"/>
      <c r="N55" s="112" t="s">
        <v>321</v>
      </c>
      <c r="O55" s="111"/>
      <c r="P55" s="67"/>
      <c r="Q55" s="134" t="s">
        <v>115</v>
      </c>
      <c r="R55" s="134" t="s">
        <v>115</v>
      </c>
      <c r="S55" s="134" t="s">
        <v>115</v>
      </c>
      <c r="T55" s="134"/>
      <c r="U55" s="134"/>
      <c r="V55" s="134" t="s">
        <v>115</v>
      </c>
      <c r="W55" s="134" t="s">
        <v>115</v>
      </c>
      <c r="X55" s="90" t="s">
        <v>327</v>
      </c>
      <c r="Y55" s="55" t="s">
        <v>117</v>
      </c>
      <c r="Z55" s="132">
        <v>100</v>
      </c>
      <c r="AA55" s="132"/>
      <c r="AB55" s="132">
        <v>100</v>
      </c>
      <c r="AC55" s="132"/>
      <c r="AD55" s="132"/>
      <c r="AE55" s="132"/>
      <c r="AF55" s="132"/>
      <c r="AG55" s="132"/>
      <c r="AH55" s="132"/>
      <c r="AI55" s="132"/>
      <c r="AJ55" s="132"/>
      <c r="AK55" s="132"/>
      <c r="AL55" s="132"/>
      <c r="AM55" s="132"/>
      <c r="AN55" s="132"/>
      <c r="AO55" s="132"/>
      <c r="AP55" s="132"/>
      <c r="AQ55" s="90"/>
      <c r="AR55" s="112" t="s">
        <v>117</v>
      </c>
      <c r="AS55" s="34" t="s">
        <v>328</v>
      </c>
      <c r="AT55" s="34" t="s">
        <v>317</v>
      </c>
      <c r="AU55" s="93"/>
      <c r="AV55" s="157"/>
      <c r="AW55" s="158" t="s">
        <v>318</v>
      </c>
      <c r="AX55" s="158" t="s">
        <v>91</v>
      </c>
      <c r="AY55" s="158" t="str">
        <f t="shared" si="44"/>
        <v>工业浦北县</v>
      </c>
      <c r="AZ55" s="158" t="str">
        <f t="shared" si="45"/>
        <v>工业</v>
      </c>
      <c r="BA55" s="159"/>
      <c r="BB55" s="160"/>
      <c r="BC55" s="157"/>
      <c r="BD55" s="157"/>
      <c r="BE55" s="157"/>
      <c r="BF55" s="157"/>
      <c r="BG55" s="157"/>
      <c r="BH55" s="157"/>
      <c r="BI55" s="157" t="str">
        <f t="shared" si="46"/>
        <v>浦北县人民政府4月</v>
      </c>
      <c r="BJ55" s="157" t="s">
        <v>92</v>
      </c>
      <c r="BK55" s="157" t="s">
        <v>93</v>
      </c>
      <c r="BL55" s="201" t="str">
        <f t="shared" si="47"/>
        <v>企业浦北县人民政府</v>
      </c>
      <c r="BM55" s="201" t="str">
        <f t="shared" si="48"/>
        <v>产业浦北县人民政府</v>
      </c>
      <c r="BN55" s="201"/>
    </row>
    <row r="56" ht="80.1" customHeight="1" spans="1:66">
      <c r="A56" s="23">
        <f>SUBTOTAL(3,C$11:C56)</f>
        <v>41</v>
      </c>
      <c r="B56" s="55" t="s">
        <v>329</v>
      </c>
      <c r="C56" s="35" t="s">
        <v>79</v>
      </c>
      <c r="D56" s="55" t="s">
        <v>330</v>
      </c>
      <c r="E56" s="37" t="s">
        <v>112</v>
      </c>
      <c r="F56" s="36">
        <v>13000</v>
      </c>
      <c r="G56" s="36"/>
      <c r="H56" s="81" t="s">
        <v>177</v>
      </c>
      <c r="I56" s="81"/>
      <c r="J56" s="37">
        <v>500</v>
      </c>
      <c r="K56" s="37">
        <v>1300</v>
      </c>
      <c r="L56" s="36">
        <v>2000</v>
      </c>
      <c r="M56" s="36"/>
      <c r="N56" s="112" t="s">
        <v>321</v>
      </c>
      <c r="O56" s="111"/>
      <c r="P56" s="67"/>
      <c r="Q56" s="134" t="s">
        <v>115</v>
      </c>
      <c r="R56" s="134" t="s">
        <v>115</v>
      </c>
      <c r="S56" s="134" t="s">
        <v>115</v>
      </c>
      <c r="T56" s="134"/>
      <c r="U56" s="134"/>
      <c r="V56" s="134" t="s">
        <v>115</v>
      </c>
      <c r="W56" s="134"/>
      <c r="X56" s="90" t="s">
        <v>322</v>
      </c>
      <c r="Y56" s="55" t="s">
        <v>117</v>
      </c>
      <c r="Z56" s="132">
        <v>45</v>
      </c>
      <c r="AA56" s="132">
        <v>45</v>
      </c>
      <c r="AB56" s="132"/>
      <c r="AC56" s="132"/>
      <c r="AD56" s="132"/>
      <c r="AE56" s="132"/>
      <c r="AF56" s="132"/>
      <c r="AG56" s="132"/>
      <c r="AH56" s="132"/>
      <c r="AI56" s="132"/>
      <c r="AJ56" s="132"/>
      <c r="AK56" s="132"/>
      <c r="AL56" s="132"/>
      <c r="AM56" s="132"/>
      <c r="AN56" s="132"/>
      <c r="AO56" s="132"/>
      <c r="AP56" s="132"/>
      <c r="AQ56" s="90"/>
      <c r="AR56" s="112" t="s">
        <v>117</v>
      </c>
      <c r="AS56" s="34" t="s">
        <v>331</v>
      </c>
      <c r="AT56" s="34" t="s">
        <v>317</v>
      </c>
      <c r="AU56" s="93"/>
      <c r="AV56" s="157"/>
      <c r="AW56" s="158" t="s">
        <v>318</v>
      </c>
      <c r="AX56" s="158" t="s">
        <v>91</v>
      </c>
      <c r="AY56" s="158" t="str">
        <f t="shared" si="44"/>
        <v>工业浦北县</v>
      </c>
      <c r="AZ56" s="158" t="str">
        <f t="shared" si="45"/>
        <v>工业</v>
      </c>
      <c r="BA56" s="159"/>
      <c r="BB56" s="160"/>
      <c r="BC56" s="157"/>
      <c r="BD56" s="157"/>
      <c r="BE56" s="157"/>
      <c r="BF56" s="157"/>
      <c r="BG56" s="157"/>
      <c r="BH56" s="157"/>
      <c r="BI56" s="157" t="str">
        <f t="shared" si="46"/>
        <v>浦北县人民政府4月</v>
      </c>
      <c r="BJ56" s="157" t="s">
        <v>92</v>
      </c>
      <c r="BK56" s="157" t="s">
        <v>93</v>
      </c>
      <c r="BL56" s="201" t="str">
        <f t="shared" si="47"/>
        <v>企业浦北县人民政府</v>
      </c>
      <c r="BM56" s="201" t="str">
        <f t="shared" si="48"/>
        <v>产业浦北县人民政府</v>
      </c>
      <c r="BN56" s="201">
        <f t="shared" si="49"/>
        <v>0</v>
      </c>
    </row>
    <row r="57" ht="77.25" customHeight="1" spans="1:66">
      <c r="A57" s="23">
        <f>SUBTOTAL(3,C$11:C57)</f>
        <v>42</v>
      </c>
      <c r="B57" s="55" t="s">
        <v>332</v>
      </c>
      <c r="C57" s="37" t="s">
        <v>79</v>
      </c>
      <c r="D57" s="55" t="s">
        <v>333</v>
      </c>
      <c r="E57" s="37" t="s">
        <v>112</v>
      </c>
      <c r="F57" s="36">
        <v>8000</v>
      </c>
      <c r="G57" s="36"/>
      <c r="H57" s="81" t="s">
        <v>209</v>
      </c>
      <c r="I57" s="81"/>
      <c r="J57" s="81"/>
      <c r="K57" s="37">
        <v>1000</v>
      </c>
      <c r="L57" s="36">
        <v>2000</v>
      </c>
      <c r="M57" s="36"/>
      <c r="N57" s="112" t="s">
        <v>334</v>
      </c>
      <c r="O57" s="111"/>
      <c r="P57" s="67"/>
      <c r="Q57" s="134" t="s">
        <v>115</v>
      </c>
      <c r="R57" s="134" t="s">
        <v>115</v>
      </c>
      <c r="S57" s="134" t="s">
        <v>115</v>
      </c>
      <c r="T57" s="134"/>
      <c r="U57" s="134"/>
      <c r="V57" s="134" t="s">
        <v>115</v>
      </c>
      <c r="W57" s="134"/>
      <c r="X57" s="90" t="s">
        <v>327</v>
      </c>
      <c r="Y57" s="55" t="s">
        <v>117</v>
      </c>
      <c r="Z57" s="132">
        <v>70</v>
      </c>
      <c r="AA57" s="132">
        <v>70</v>
      </c>
      <c r="AB57" s="132"/>
      <c r="AC57" s="132"/>
      <c r="AD57" s="132"/>
      <c r="AE57" s="132"/>
      <c r="AF57" s="132"/>
      <c r="AG57" s="132"/>
      <c r="AH57" s="132"/>
      <c r="AI57" s="132"/>
      <c r="AJ57" s="132"/>
      <c r="AK57" s="132"/>
      <c r="AL57" s="132"/>
      <c r="AM57" s="132"/>
      <c r="AN57" s="132"/>
      <c r="AO57" s="132"/>
      <c r="AP57" s="132"/>
      <c r="AQ57" s="90"/>
      <c r="AR57" s="112" t="s">
        <v>335</v>
      </c>
      <c r="AS57" s="34" t="s">
        <v>336</v>
      </c>
      <c r="AT57" s="34" t="s">
        <v>317</v>
      </c>
      <c r="AU57" s="93"/>
      <c r="AV57" s="157"/>
      <c r="AW57" s="158" t="s">
        <v>318</v>
      </c>
      <c r="AX57" s="158" t="s">
        <v>91</v>
      </c>
      <c r="AY57" s="158" t="str">
        <f t="shared" si="44"/>
        <v>工业浦北县</v>
      </c>
      <c r="AZ57" s="158" t="str">
        <f t="shared" si="45"/>
        <v>工业</v>
      </c>
      <c r="BA57" s="159"/>
      <c r="BB57" s="160"/>
      <c r="BC57" s="157"/>
      <c r="BD57" s="157"/>
      <c r="BE57" s="157"/>
      <c r="BF57" s="157"/>
      <c r="BG57" s="157"/>
      <c r="BH57" s="157"/>
      <c r="BI57" s="157" t="str">
        <f t="shared" si="46"/>
        <v>浦北县人民政府8月</v>
      </c>
      <c r="BJ57" s="157" t="s">
        <v>92</v>
      </c>
      <c r="BK57" s="157" t="s">
        <v>93</v>
      </c>
      <c r="BL57" s="201" t="str">
        <f t="shared" si="47"/>
        <v>企业浦北县人民政府</v>
      </c>
      <c r="BM57" s="201" t="str">
        <f t="shared" si="48"/>
        <v>产业浦北县人民政府</v>
      </c>
      <c r="BN57" s="201">
        <f t="shared" si="49"/>
        <v>0</v>
      </c>
    </row>
    <row r="58" s="199" customFormat="1" ht="63.95" customHeight="1" spans="1:66">
      <c r="A58" s="23">
        <f>SUBTOTAL(3,C$11:C58)</f>
        <v>43</v>
      </c>
      <c r="B58" s="55" t="s">
        <v>337</v>
      </c>
      <c r="C58" s="37" t="s">
        <v>79</v>
      </c>
      <c r="D58" s="830" t="s">
        <v>338</v>
      </c>
      <c r="E58" s="35">
        <v>2019</v>
      </c>
      <c r="F58" s="35">
        <v>3000</v>
      </c>
      <c r="G58" s="35"/>
      <c r="H58" s="83" t="s">
        <v>144</v>
      </c>
      <c r="I58" s="83"/>
      <c r="J58" s="578">
        <v>500</v>
      </c>
      <c r="K58" s="578">
        <v>1250</v>
      </c>
      <c r="L58" s="35">
        <v>3000</v>
      </c>
      <c r="M58" s="35"/>
      <c r="N58" s="34" t="s">
        <v>339</v>
      </c>
      <c r="O58" s="111"/>
      <c r="P58" s="67"/>
      <c r="Q58" s="134" t="s">
        <v>115</v>
      </c>
      <c r="R58" s="134" t="s">
        <v>115</v>
      </c>
      <c r="S58" s="134" t="s">
        <v>115</v>
      </c>
      <c r="T58" s="134"/>
      <c r="U58" s="134"/>
      <c r="V58" s="134" t="s">
        <v>115</v>
      </c>
      <c r="W58" s="134"/>
      <c r="X58" s="90" t="s">
        <v>327</v>
      </c>
      <c r="Y58" s="55" t="s">
        <v>117</v>
      </c>
      <c r="Z58" s="132">
        <v>70</v>
      </c>
      <c r="AA58" s="132">
        <v>70</v>
      </c>
      <c r="AB58" s="132"/>
      <c r="AC58" s="132"/>
      <c r="AD58" s="132"/>
      <c r="AE58" s="132"/>
      <c r="AF58" s="132"/>
      <c r="AG58" s="132"/>
      <c r="AH58" s="132"/>
      <c r="AI58" s="132"/>
      <c r="AJ58" s="132"/>
      <c r="AK58" s="132"/>
      <c r="AL58" s="132"/>
      <c r="AM58" s="132"/>
      <c r="AN58" s="132"/>
      <c r="AO58" s="132"/>
      <c r="AP58" s="132"/>
      <c r="AQ58" s="90"/>
      <c r="AR58" s="34" t="s">
        <v>340</v>
      </c>
      <c r="AS58" s="882" t="s">
        <v>341</v>
      </c>
      <c r="AT58" s="34" t="s">
        <v>317</v>
      </c>
      <c r="AU58" s="93"/>
      <c r="AV58" s="35"/>
      <c r="AW58" s="92" t="s">
        <v>318</v>
      </c>
      <c r="AX58" s="92" t="s">
        <v>91</v>
      </c>
      <c r="AY58" s="92" t="str">
        <f t="shared" si="44"/>
        <v>工业浦北县</v>
      </c>
      <c r="AZ58" s="92" t="str">
        <f t="shared" si="45"/>
        <v>工业</v>
      </c>
      <c r="BA58" s="149"/>
      <c r="BB58" s="67"/>
      <c r="BC58" s="35"/>
      <c r="BD58" s="35"/>
      <c r="BE58" s="35"/>
      <c r="BF58" s="35"/>
      <c r="BG58" s="35"/>
      <c r="BH58" s="35"/>
      <c r="BI58" s="35" t="str">
        <f t="shared" si="46"/>
        <v>浦北县人民政府5月</v>
      </c>
      <c r="BJ58" s="35" t="s">
        <v>92</v>
      </c>
      <c r="BK58" s="157" t="s">
        <v>93</v>
      </c>
      <c r="BL58" s="179" t="str">
        <f t="shared" si="47"/>
        <v>企业浦北县人民政府</v>
      </c>
      <c r="BM58" s="179" t="str">
        <f t="shared" si="48"/>
        <v>产业浦北县人民政府</v>
      </c>
      <c r="BN58" s="179">
        <f t="shared" si="49"/>
        <v>0</v>
      </c>
    </row>
    <row r="59" s="199" customFormat="1" ht="66.95" customHeight="1" spans="1:66">
      <c r="A59" s="23">
        <f>SUBTOTAL(3,C$11:C59)</f>
        <v>44</v>
      </c>
      <c r="B59" s="55" t="s">
        <v>342</v>
      </c>
      <c r="C59" s="37" t="s">
        <v>79</v>
      </c>
      <c r="D59" s="830" t="s">
        <v>343</v>
      </c>
      <c r="E59" s="35" t="s">
        <v>112</v>
      </c>
      <c r="F59" s="35">
        <v>3650</v>
      </c>
      <c r="G59" s="35"/>
      <c r="H59" s="83" t="s">
        <v>209</v>
      </c>
      <c r="I59" s="83"/>
      <c r="J59" s="83"/>
      <c r="K59" s="578">
        <v>600</v>
      </c>
      <c r="L59" s="35">
        <v>2000</v>
      </c>
      <c r="M59" s="35"/>
      <c r="N59" s="34" t="s">
        <v>344</v>
      </c>
      <c r="O59" s="111"/>
      <c r="P59" s="67"/>
      <c r="Q59" s="134" t="s">
        <v>115</v>
      </c>
      <c r="R59" s="134" t="s">
        <v>115</v>
      </c>
      <c r="S59" s="134" t="s">
        <v>115</v>
      </c>
      <c r="T59" s="134"/>
      <c r="U59" s="134"/>
      <c r="V59" s="134" t="s">
        <v>115</v>
      </c>
      <c r="W59" s="134"/>
      <c r="X59" s="90" t="s">
        <v>327</v>
      </c>
      <c r="Y59" s="55" t="s">
        <v>117</v>
      </c>
      <c r="Z59" s="132">
        <v>70</v>
      </c>
      <c r="AA59" s="132">
        <v>70</v>
      </c>
      <c r="AB59" s="132"/>
      <c r="AC59" s="132"/>
      <c r="AD59" s="132"/>
      <c r="AE59" s="132"/>
      <c r="AF59" s="132"/>
      <c r="AG59" s="132"/>
      <c r="AH59" s="132"/>
      <c r="AI59" s="132"/>
      <c r="AJ59" s="132"/>
      <c r="AK59" s="132"/>
      <c r="AL59" s="132"/>
      <c r="AM59" s="132"/>
      <c r="AN59" s="132"/>
      <c r="AO59" s="132"/>
      <c r="AP59" s="132"/>
      <c r="AQ59" s="90"/>
      <c r="AR59" s="34" t="s">
        <v>345</v>
      </c>
      <c r="AS59" s="882" t="s">
        <v>346</v>
      </c>
      <c r="AT59" s="34" t="s">
        <v>317</v>
      </c>
      <c r="AU59" s="93"/>
      <c r="AV59" s="35"/>
      <c r="AW59" s="92" t="s">
        <v>318</v>
      </c>
      <c r="AX59" s="92" t="s">
        <v>91</v>
      </c>
      <c r="AY59" s="92" t="str">
        <f t="shared" si="44"/>
        <v>工业浦北县</v>
      </c>
      <c r="AZ59" s="92" t="str">
        <f t="shared" si="45"/>
        <v>工业</v>
      </c>
      <c r="BA59" s="149"/>
      <c r="BB59" s="67"/>
      <c r="BC59" s="35"/>
      <c r="BD59" s="35"/>
      <c r="BE59" s="35"/>
      <c r="BF59" s="35"/>
      <c r="BG59" s="35"/>
      <c r="BH59" s="35"/>
      <c r="BI59" s="35" t="str">
        <f t="shared" si="46"/>
        <v>浦北县人民政府8月</v>
      </c>
      <c r="BJ59" s="35" t="s">
        <v>92</v>
      </c>
      <c r="BK59" s="157" t="s">
        <v>93</v>
      </c>
      <c r="BL59" s="179" t="str">
        <f t="shared" si="47"/>
        <v>企业浦北县人民政府</v>
      </c>
      <c r="BM59" s="179" t="str">
        <f t="shared" si="48"/>
        <v>产业浦北县人民政府</v>
      </c>
      <c r="BN59" s="179">
        <f t="shared" si="49"/>
        <v>0</v>
      </c>
    </row>
    <row r="60" s="199" customFormat="1" ht="72.95" customHeight="1" spans="1:66">
      <c r="A60" s="23">
        <f>SUBTOTAL(3,C$11:C60)</f>
        <v>45</v>
      </c>
      <c r="B60" s="55" t="s">
        <v>347</v>
      </c>
      <c r="C60" s="37" t="s">
        <v>79</v>
      </c>
      <c r="D60" s="830" t="s">
        <v>348</v>
      </c>
      <c r="E60" s="35" t="s">
        <v>112</v>
      </c>
      <c r="F60" s="35">
        <v>1800</v>
      </c>
      <c r="G60" s="35"/>
      <c r="H60" s="83" t="s">
        <v>144</v>
      </c>
      <c r="I60" s="578">
        <v>100</v>
      </c>
      <c r="J60" s="578">
        <v>200</v>
      </c>
      <c r="K60" s="578">
        <v>300</v>
      </c>
      <c r="L60" s="35">
        <v>500</v>
      </c>
      <c r="M60" s="35"/>
      <c r="N60" s="34" t="s">
        <v>349</v>
      </c>
      <c r="O60" s="111"/>
      <c r="P60" s="67"/>
      <c r="Q60" s="134" t="s">
        <v>115</v>
      </c>
      <c r="R60" s="134" t="s">
        <v>115</v>
      </c>
      <c r="S60" s="134" t="s">
        <v>115</v>
      </c>
      <c r="T60" s="134"/>
      <c r="U60" s="134"/>
      <c r="V60" s="134" t="s">
        <v>115</v>
      </c>
      <c r="W60" s="134"/>
      <c r="X60" s="90" t="s">
        <v>327</v>
      </c>
      <c r="Y60" s="55" t="s">
        <v>117</v>
      </c>
      <c r="Z60" s="132">
        <v>70</v>
      </c>
      <c r="AA60" s="132">
        <v>70</v>
      </c>
      <c r="AB60" s="132"/>
      <c r="AC60" s="132"/>
      <c r="AD60" s="132"/>
      <c r="AE60" s="132"/>
      <c r="AF60" s="132"/>
      <c r="AG60" s="132"/>
      <c r="AH60" s="132"/>
      <c r="AI60" s="132"/>
      <c r="AJ60" s="132"/>
      <c r="AK60" s="132"/>
      <c r="AL60" s="132"/>
      <c r="AM60" s="132"/>
      <c r="AN60" s="132"/>
      <c r="AO60" s="132"/>
      <c r="AP60" s="132"/>
      <c r="AQ60" s="90"/>
      <c r="AR60" s="34" t="s">
        <v>117</v>
      </c>
      <c r="AS60" s="882" t="s">
        <v>350</v>
      </c>
      <c r="AT60" s="34" t="s">
        <v>317</v>
      </c>
      <c r="AU60" s="93"/>
      <c r="AV60" s="35"/>
      <c r="AW60" s="92" t="s">
        <v>318</v>
      </c>
      <c r="AX60" s="92" t="s">
        <v>91</v>
      </c>
      <c r="AY60" s="92" t="str">
        <f t="shared" si="44"/>
        <v>工业浦北县</v>
      </c>
      <c r="AZ60" s="92" t="str">
        <f t="shared" si="45"/>
        <v>工业</v>
      </c>
      <c r="BA60" s="149"/>
      <c r="BB60" s="67"/>
      <c r="BC60" s="35"/>
      <c r="BD60" s="35"/>
      <c r="BE60" s="35"/>
      <c r="BF60" s="35"/>
      <c r="BG60" s="35"/>
      <c r="BH60" s="35"/>
      <c r="BI60" s="35" t="str">
        <f t="shared" si="46"/>
        <v>浦北县人民政府5月</v>
      </c>
      <c r="BJ60" s="35" t="s">
        <v>92</v>
      </c>
      <c r="BK60" s="157" t="s">
        <v>93</v>
      </c>
      <c r="BL60" s="179" t="str">
        <f t="shared" si="47"/>
        <v>企业浦北县人民政府</v>
      </c>
      <c r="BM60" s="179" t="str">
        <f t="shared" si="48"/>
        <v>产业浦北县人民政府</v>
      </c>
      <c r="BN60" s="179">
        <f t="shared" si="49"/>
        <v>0</v>
      </c>
    </row>
    <row r="61" s="9" customFormat="1" ht="18" hidden="1" customHeight="1" spans="1:66">
      <c r="A61" s="23"/>
      <c r="B61" s="908" t="str">
        <f>"钦南区（"&amp;SUBTOTAL(3,C62:C63)&amp;"个）"</f>
        <v>钦南区（2个）</v>
      </c>
      <c r="C61" s="909"/>
      <c r="D61" s="910"/>
      <c r="E61" s="551"/>
      <c r="F61" s="134">
        <f t="shared" ref="F61:M61" si="50">SUBTOTAL(9,F62:F63)</f>
        <v>18000</v>
      </c>
      <c r="G61" s="134"/>
      <c r="H61" s="134"/>
      <c r="I61" s="134">
        <f t="shared" si="50"/>
        <v>2350</v>
      </c>
      <c r="J61" s="134">
        <f t="shared" si="50"/>
        <v>6100</v>
      </c>
      <c r="K61" s="134">
        <f t="shared" si="50"/>
        <v>7700</v>
      </c>
      <c r="L61" s="134">
        <f t="shared" si="50"/>
        <v>11000</v>
      </c>
      <c r="M61" s="134">
        <f t="shared" si="50"/>
        <v>0</v>
      </c>
      <c r="N61" s="134"/>
      <c r="O61" s="134"/>
      <c r="P61" s="134"/>
      <c r="Q61" s="134"/>
      <c r="R61" s="134"/>
      <c r="S61" s="134"/>
      <c r="T61" s="134"/>
      <c r="U61" s="134"/>
      <c r="V61" s="134"/>
      <c r="W61" s="134"/>
      <c r="X61" s="90"/>
      <c r="Y61" s="90"/>
      <c r="Z61" s="134">
        <f t="shared" ref="Z61:AP61" si="51">SUBTOTAL(9,Z62:Z63)</f>
        <v>57.456</v>
      </c>
      <c r="AA61" s="134">
        <f t="shared" si="51"/>
        <v>57.456</v>
      </c>
      <c r="AB61" s="134">
        <f t="shared" si="51"/>
        <v>0</v>
      </c>
      <c r="AC61" s="134">
        <f t="shared" si="51"/>
        <v>300</v>
      </c>
      <c r="AD61" s="134">
        <f t="shared" si="51"/>
        <v>50</v>
      </c>
      <c r="AE61" s="134">
        <f t="shared" si="51"/>
        <v>250</v>
      </c>
      <c r="AF61" s="134">
        <f t="shared" si="51"/>
        <v>0</v>
      </c>
      <c r="AG61" s="134">
        <f t="shared" si="51"/>
        <v>0</v>
      </c>
      <c r="AH61" s="134">
        <f t="shared" si="51"/>
        <v>0</v>
      </c>
      <c r="AI61" s="134">
        <f t="shared" si="51"/>
        <v>0</v>
      </c>
      <c r="AJ61" s="134">
        <f t="shared" si="51"/>
        <v>0</v>
      </c>
      <c r="AK61" s="134">
        <f t="shared" si="51"/>
        <v>0</v>
      </c>
      <c r="AL61" s="134">
        <f t="shared" si="51"/>
        <v>0</v>
      </c>
      <c r="AM61" s="134">
        <f t="shared" si="51"/>
        <v>0</v>
      </c>
      <c r="AN61" s="134">
        <f t="shared" si="51"/>
        <v>0</v>
      </c>
      <c r="AO61" s="134">
        <f t="shared" si="51"/>
        <v>5000</v>
      </c>
      <c r="AP61" s="134">
        <f t="shared" si="51"/>
        <v>0</v>
      </c>
      <c r="AQ61" s="90"/>
      <c r="AR61" s="112"/>
      <c r="AS61" s="591"/>
      <c r="AT61" s="134"/>
      <c r="AU61" s="93"/>
      <c r="AV61" s="165"/>
      <c r="AW61" s="158"/>
      <c r="AX61" s="158"/>
      <c r="AY61" s="158"/>
      <c r="AZ61" s="158"/>
      <c r="BA61" s="169"/>
      <c r="BB61" s="165"/>
      <c r="BC61" s="165"/>
      <c r="BD61" s="165"/>
      <c r="BE61" s="169"/>
      <c r="BF61" s="169"/>
      <c r="BG61" s="169"/>
      <c r="BH61" s="183" t="e">
        <f>"钦南区（"&amp;SUBTOTAL(3,#REF!)&amp;"个）"</f>
        <v>#REF!</v>
      </c>
      <c r="BI61" s="165"/>
      <c r="BJ61" s="157"/>
      <c r="BK61" s="157"/>
      <c r="BM61" s="201"/>
      <c r="BN61" s="7"/>
    </row>
    <row r="62" ht="68.1" customHeight="1" spans="1:66">
      <c r="A62" s="23">
        <f>SUBTOTAL(3,C$11:C62)</f>
        <v>46</v>
      </c>
      <c r="B62" s="55" t="s">
        <v>351</v>
      </c>
      <c r="C62" s="35" t="s">
        <v>79</v>
      </c>
      <c r="D62" s="55" t="s">
        <v>352</v>
      </c>
      <c r="E62" s="35" t="s">
        <v>112</v>
      </c>
      <c r="F62" s="36">
        <v>12000</v>
      </c>
      <c r="G62" s="36"/>
      <c r="H62" s="81" t="s">
        <v>353</v>
      </c>
      <c r="I62" s="36">
        <v>350</v>
      </c>
      <c r="J62" s="36">
        <v>2600</v>
      </c>
      <c r="K62" s="36">
        <v>3700</v>
      </c>
      <c r="L62" s="36">
        <v>5000</v>
      </c>
      <c r="M62" s="36"/>
      <c r="N62" s="112" t="s">
        <v>354</v>
      </c>
      <c r="O62" s="111"/>
      <c r="P62" s="67"/>
      <c r="Q62" s="134" t="s">
        <v>115</v>
      </c>
      <c r="R62" s="134" t="s">
        <v>115</v>
      </c>
      <c r="S62" s="134" t="s">
        <v>115</v>
      </c>
      <c r="T62" s="134" t="s">
        <v>115</v>
      </c>
      <c r="U62" s="134"/>
      <c r="V62" s="134"/>
      <c r="W62" s="134" t="s">
        <v>115</v>
      </c>
      <c r="X62" s="171" t="s">
        <v>355</v>
      </c>
      <c r="Y62" s="259" t="s">
        <v>356</v>
      </c>
      <c r="Z62" s="261">
        <v>37.4565</v>
      </c>
      <c r="AA62" s="261">
        <v>37.4565</v>
      </c>
      <c r="AB62" s="261"/>
      <c r="AC62" s="261">
        <v>300</v>
      </c>
      <c r="AD62" s="261">
        <v>50</v>
      </c>
      <c r="AE62" s="261">
        <v>250</v>
      </c>
      <c r="AF62" s="261"/>
      <c r="AG62" s="261"/>
      <c r="AH62" s="261"/>
      <c r="AI62" s="261"/>
      <c r="AJ62" s="261"/>
      <c r="AK62" s="261"/>
      <c r="AL62" s="261"/>
      <c r="AM62" s="261"/>
      <c r="AN62" s="261"/>
      <c r="AO62" s="261">
        <v>2000</v>
      </c>
      <c r="AP62" s="261"/>
      <c r="AQ62" s="90"/>
      <c r="AR62" s="112" t="s">
        <v>357</v>
      </c>
      <c r="AS62" s="86" t="s">
        <v>358</v>
      </c>
      <c r="AT62" s="34" t="s">
        <v>359</v>
      </c>
      <c r="AU62" s="93"/>
      <c r="AV62" s="157"/>
      <c r="AW62" s="158" t="s">
        <v>360</v>
      </c>
      <c r="AX62" s="158" t="s">
        <v>91</v>
      </c>
      <c r="AY62" s="158" t="str">
        <f t="shared" ref="AY62:AY65" si="52">AX62&amp;AW62</f>
        <v>工业钦南区</v>
      </c>
      <c r="AZ62" s="158" t="str">
        <f t="shared" ref="AZ62:AZ71" si="53">AX62</f>
        <v>工业</v>
      </c>
      <c r="BA62" s="159"/>
      <c r="BB62" s="160"/>
      <c r="BC62" s="157"/>
      <c r="BD62" s="157"/>
      <c r="BE62" s="157"/>
      <c r="BF62" s="157"/>
      <c r="BG62" s="157"/>
      <c r="BH62" s="157"/>
      <c r="BI62" s="157" t="str">
        <f t="shared" ref="BI62:BI65" si="54">AT62&amp;H62</f>
        <v>钦南区人民政府2月</v>
      </c>
      <c r="BJ62" s="157" t="s">
        <v>92</v>
      </c>
      <c r="BK62" s="157" t="s">
        <v>93</v>
      </c>
      <c r="BL62" s="201" t="str">
        <f t="shared" ref="BL62:BL65" si="55">BJ62&amp;AT62</f>
        <v>企业钦南区人民政府</v>
      </c>
      <c r="BM62" s="201" t="str">
        <f t="shared" ref="BM62:BM65" si="56">BK62&amp;AT62</f>
        <v>产业钦南区人民政府</v>
      </c>
      <c r="BN62" s="201">
        <f t="shared" ref="BN62:BN65" si="57">IF(O62&gt;0,1,0)</f>
        <v>0</v>
      </c>
    </row>
    <row r="63" ht="80.1" customHeight="1" spans="1:66">
      <c r="A63" s="23">
        <f>SUBTOTAL(3,C$11:C63)</f>
        <v>47</v>
      </c>
      <c r="B63" s="233" t="s">
        <v>361</v>
      </c>
      <c r="C63" s="87" t="s">
        <v>79</v>
      </c>
      <c r="D63" s="233" t="s">
        <v>362</v>
      </c>
      <c r="E63" s="87" t="s">
        <v>112</v>
      </c>
      <c r="F63" s="234">
        <v>6000</v>
      </c>
      <c r="G63" s="234"/>
      <c r="H63" s="81" t="s">
        <v>244</v>
      </c>
      <c r="I63" s="36">
        <v>2000</v>
      </c>
      <c r="J63" s="36">
        <v>3500</v>
      </c>
      <c r="K63" s="36">
        <v>4000</v>
      </c>
      <c r="L63" s="234">
        <v>6000</v>
      </c>
      <c r="M63" s="234"/>
      <c r="N63" s="125" t="s">
        <v>363</v>
      </c>
      <c r="O63" s="111"/>
      <c r="P63" s="67"/>
      <c r="Q63" s="134" t="s">
        <v>115</v>
      </c>
      <c r="R63" s="134" t="s">
        <v>115</v>
      </c>
      <c r="S63" s="134" t="s">
        <v>115</v>
      </c>
      <c r="T63" s="134" t="s">
        <v>115</v>
      </c>
      <c r="U63" s="134"/>
      <c r="V63" s="134"/>
      <c r="W63" s="134" t="s">
        <v>115</v>
      </c>
      <c r="X63" s="259" t="s">
        <v>364</v>
      </c>
      <c r="Y63" s="771" t="s">
        <v>365</v>
      </c>
      <c r="Z63" s="261">
        <v>19.9995</v>
      </c>
      <c r="AA63" s="261">
        <v>19.9995</v>
      </c>
      <c r="AB63" s="261"/>
      <c r="AC63" s="261"/>
      <c r="AD63" s="261"/>
      <c r="AE63" s="261"/>
      <c r="AF63" s="261"/>
      <c r="AG63" s="261"/>
      <c r="AH63" s="261"/>
      <c r="AI63" s="261"/>
      <c r="AJ63" s="261"/>
      <c r="AK63" s="261"/>
      <c r="AL63" s="261"/>
      <c r="AM63" s="261"/>
      <c r="AN63" s="261"/>
      <c r="AO63" s="261">
        <v>3000</v>
      </c>
      <c r="AP63" s="261"/>
      <c r="AQ63" s="90"/>
      <c r="AR63" s="125" t="s">
        <v>366</v>
      </c>
      <c r="AS63" s="778" t="s">
        <v>367</v>
      </c>
      <c r="AT63" s="34" t="s">
        <v>359</v>
      </c>
      <c r="AU63" s="171"/>
      <c r="AV63" s="157"/>
      <c r="AW63" s="158" t="s">
        <v>360</v>
      </c>
      <c r="AX63" s="158" t="s">
        <v>91</v>
      </c>
      <c r="AY63" s="158" t="str">
        <f t="shared" si="52"/>
        <v>工业钦南区</v>
      </c>
      <c r="AZ63" s="158" t="str">
        <f t="shared" si="53"/>
        <v>工业</v>
      </c>
      <c r="BA63" s="159"/>
      <c r="BB63" s="160"/>
      <c r="BC63" s="157"/>
      <c r="BD63" s="157"/>
      <c r="BE63" s="157"/>
      <c r="BF63" s="157"/>
      <c r="BG63" s="157"/>
      <c r="BH63" s="157"/>
      <c r="BI63" s="157" t="str">
        <f t="shared" si="54"/>
        <v>钦南区人民政府1月</v>
      </c>
      <c r="BJ63" s="157" t="s">
        <v>92</v>
      </c>
      <c r="BK63" s="157" t="s">
        <v>93</v>
      </c>
      <c r="BL63" s="201" t="str">
        <f t="shared" si="55"/>
        <v>企业钦南区人民政府</v>
      </c>
      <c r="BM63" s="201" t="str">
        <f t="shared" si="56"/>
        <v>产业钦南区人民政府</v>
      </c>
      <c r="BN63" s="201">
        <f t="shared" si="57"/>
        <v>0</v>
      </c>
    </row>
    <row r="64" s="9" customFormat="1" ht="18.75" hidden="1" customHeight="1" spans="1:66">
      <c r="A64" s="551"/>
      <c r="B64" s="908" t="str">
        <f>"钦北区（"&amp;SUBTOTAL(3,C65:C71)&amp;"个）"</f>
        <v>钦北区（7个）</v>
      </c>
      <c r="C64" s="909"/>
      <c r="D64" s="910"/>
      <c r="E64" s="551"/>
      <c r="F64" s="134">
        <f t="shared" ref="F64:M64" si="58">SUBTOTAL(9,F65:F71)</f>
        <v>145300</v>
      </c>
      <c r="G64" s="134"/>
      <c r="H64" s="134"/>
      <c r="I64" s="134">
        <f t="shared" si="58"/>
        <v>2000</v>
      </c>
      <c r="J64" s="134">
        <f t="shared" si="58"/>
        <v>3050</v>
      </c>
      <c r="K64" s="134">
        <f t="shared" si="58"/>
        <v>12200</v>
      </c>
      <c r="L64" s="134">
        <f t="shared" si="58"/>
        <v>35000</v>
      </c>
      <c r="M64" s="134">
        <f t="shared" si="58"/>
        <v>15000</v>
      </c>
      <c r="N64" s="134"/>
      <c r="O64" s="134"/>
      <c r="P64" s="134"/>
      <c r="Q64" s="134"/>
      <c r="R64" s="134"/>
      <c r="S64" s="134"/>
      <c r="T64" s="134"/>
      <c r="U64" s="134"/>
      <c r="V64" s="134"/>
      <c r="W64" s="134"/>
      <c r="X64" s="674"/>
      <c r="Y64" s="674"/>
      <c r="Z64" s="134">
        <f t="shared" ref="Z64:AP64" si="59">SUBTOTAL(9,Z65:Z71)</f>
        <v>602</v>
      </c>
      <c r="AA64" s="134">
        <f t="shared" si="59"/>
        <v>143</v>
      </c>
      <c r="AB64" s="134">
        <f t="shared" si="59"/>
        <v>459</v>
      </c>
      <c r="AC64" s="134">
        <f t="shared" si="59"/>
        <v>0</v>
      </c>
      <c r="AD64" s="134">
        <f t="shared" si="59"/>
        <v>0</v>
      </c>
      <c r="AE64" s="134">
        <f t="shared" si="59"/>
        <v>0</v>
      </c>
      <c r="AF64" s="134">
        <f t="shared" si="59"/>
        <v>0</v>
      </c>
      <c r="AG64" s="134">
        <f t="shared" si="59"/>
        <v>0</v>
      </c>
      <c r="AH64" s="134">
        <f t="shared" si="59"/>
        <v>0</v>
      </c>
      <c r="AI64" s="134">
        <f t="shared" si="59"/>
        <v>0</v>
      </c>
      <c r="AJ64" s="134">
        <f t="shared" si="59"/>
        <v>0</v>
      </c>
      <c r="AK64" s="134">
        <f t="shared" si="59"/>
        <v>0</v>
      </c>
      <c r="AL64" s="134">
        <f t="shared" si="59"/>
        <v>0</v>
      </c>
      <c r="AM64" s="134">
        <f t="shared" si="59"/>
        <v>0</v>
      </c>
      <c r="AN64" s="134">
        <f t="shared" si="59"/>
        <v>0</v>
      </c>
      <c r="AO64" s="134">
        <f t="shared" si="59"/>
        <v>0</v>
      </c>
      <c r="AP64" s="134">
        <f t="shared" si="59"/>
        <v>0</v>
      </c>
      <c r="AQ64" s="674"/>
      <c r="AR64" s="244"/>
      <c r="AS64" s="591"/>
      <c r="AT64" s="134"/>
      <c r="AU64" s="93"/>
      <c r="AV64" s="165"/>
      <c r="AW64" s="158"/>
      <c r="AX64" s="158"/>
      <c r="AY64" s="158"/>
      <c r="AZ64" s="158"/>
      <c r="BA64" s="169"/>
      <c r="BB64" s="165"/>
      <c r="BC64" s="165"/>
      <c r="BD64" s="165"/>
      <c r="BE64" s="169"/>
      <c r="BF64" s="169"/>
      <c r="BG64" s="169"/>
      <c r="BH64" s="183" t="e">
        <f>"钦北区（"&amp;SUBTOTAL(3,#REF!)&amp;"个）"</f>
        <v>#REF!</v>
      </c>
      <c r="BI64" s="165"/>
      <c r="BJ64" s="157"/>
      <c r="BK64" s="157"/>
      <c r="BM64" s="201"/>
      <c r="BN64" s="7"/>
    </row>
    <row r="65" ht="80.1" customHeight="1" spans="1:66">
      <c r="A65" s="23">
        <f>SUBTOTAL(3,C$11:C65)</f>
        <v>48</v>
      </c>
      <c r="B65" s="60" t="s">
        <v>368</v>
      </c>
      <c r="C65" s="23" t="s">
        <v>79</v>
      </c>
      <c r="D65" s="88" t="s">
        <v>369</v>
      </c>
      <c r="E65" s="23" t="s">
        <v>112</v>
      </c>
      <c r="F65" s="891">
        <v>34800</v>
      </c>
      <c r="G65" s="891"/>
      <c r="H65" s="81" t="s">
        <v>195</v>
      </c>
      <c r="I65" s="76">
        <v>2000</v>
      </c>
      <c r="J65" s="37">
        <v>2000</v>
      </c>
      <c r="K65" s="36">
        <v>2000</v>
      </c>
      <c r="L65" s="36">
        <v>10000</v>
      </c>
      <c r="M65" s="36">
        <v>15000</v>
      </c>
      <c r="N65" s="112" t="s">
        <v>370</v>
      </c>
      <c r="O65" s="256"/>
      <c r="P65" s="257"/>
      <c r="Q65" s="265" t="s">
        <v>115</v>
      </c>
      <c r="R65" s="265" t="s">
        <v>115</v>
      </c>
      <c r="S65" s="265" t="s">
        <v>115</v>
      </c>
      <c r="T65" s="265" t="s">
        <v>115</v>
      </c>
      <c r="U65" s="265"/>
      <c r="V65" s="265"/>
      <c r="W65" s="265"/>
      <c r="X65" s="90" t="s">
        <v>371</v>
      </c>
      <c r="Y65" s="90" t="s">
        <v>372</v>
      </c>
      <c r="Z65" s="132">
        <v>150</v>
      </c>
      <c r="AA65" s="132"/>
      <c r="AB65" s="132">
        <v>150</v>
      </c>
      <c r="AC65" s="132"/>
      <c r="AD65" s="132"/>
      <c r="AE65" s="132"/>
      <c r="AF65" s="132"/>
      <c r="AG65" s="132"/>
      <c r="AH65" s="132"/>
      <c r="AI65" s="132"/>
      <c r="AJ65" s="132"/>
      <c r="AK65" s="132"/>
      <c r="AL65" s="132"/>
      <c r="AM65" s="132"/>
      <c r="AN65" s="132"/>
      <c r="AO65" s="132"/>
      <c r="AP65" s="132"/>
      <c r="AQ65" s="90"/>
      <c r="AR65" s="112" t="s">
        <v>373</v>
      </c>
      <c r="AS65" s="123" t="s">
        <v>374</v>
      </c>
      <c r="AT65" s="123" t="s">
        <v>375</v>
      </c>
      <c r="AU65" s="55"/>
      <c r="AV65" s="157"/>
      <c r="AW65" s="158" t="s">
        <v>376</v>
      </c>
      <c r="AX65" s="158" t="s">
        <v>91</v>
      </c>
      <c r="AY65" s="158" t="str">
        <f t="shared" si="52"/>
        <v>工业钦北区</v>
      </c>
      <c r="AZ65" s="158" t="str">
        <f>AX65</f>
        <v>工业</v>
      </c>
      <c r="BA65" s="159"/>
      <c r="BB65" s="160"/>
      <c r="BC65" s="157"/>
      <c r="BD65" s="157"/>
      <c r="BE65" s="157"/>
      <c r="BF65" s="157"/>
      <c r="BG65" s="157"/>
      <c r="BH65" s="929"/>
      <c r="BI65" s="157" t="str">
        <f t="shared" si="54"/>
        <v>钦北区人民政府3月</v>
      </c>
      <c r="BJ65" s="157" t="s">
        <v>92</v>
      </c>
      <c r="BK65" s="157" t="s">
        <v>93</v>
      </c>
      <c r="BL65" s="201" t="str">
        <f t="shared" si="55"/>
        <v>企业钦北区人民政府</v>
      </c>
      <c r="BM65" s="201" t="str">
        <f t="shared" si="56"/>
        <v>产业钦北区人民政府</v>
      </c>
      <c r="BN65" s="201">
        <f t="shared" si="57"/>
        <v>0</v>
      </c>
    </row>
    <row r="66" ht="71.1" customHeight="1" spans="1:66">
      <c r="A66" s="23">
        <f>SUBTOTAL(3,C$11:C66)</f>
        <v>49</v>
      </c>
      <c r="B66" s="34" t="s">
        <v>377</v>
      </c>
      <c r="C66" s="920" t="s">
        <v>79</v>
      </c>
      <c r="D66" s="921" t="s">
        <v>378</v>
      </c>
      <c r="E66" s="35" t="s">
        <v>112</v>
      </c>
      <c r="F66" s="36">
        <v>30000</v>
      </c>
      <c r="G66" s="36"/>
      <c r="H66" s="81" t="s">
        <v>209</v>
      </c>
      <c r="I66" s="81"/>
      <c r="J66" s="81"/>
      <c r="K66" s="37">
        <v>800</v>
      </c>
      <c r="L66" s="36">
        <v>3000</v>
      </c>
      <c r="M66" s="36"/>
      <c r="N66" s="112" t="s">
        <v>379</v>
      </c>
      <c r="O66" s="256"/>
      <c r="P66" s="257"/>
      <c r="Q66" s="265" t="s">
        <v>115</v>
      </c>
      <c r="R66" s="265" t="s">
        <v>115</v>
      </c>
      <c r="S66" s="265" t="s">
        <v>115</v>
      </c>
      <c r="T66" s="265" t="s">
        <v>115</v>
      </c>
      <c r="U66" s="265"/>
      <c r="V66" s="265"/>
      <c r="W66" s="265"/>
      <c r="X66" s="90"/>
      <c r="Y66" s="90"/>
      <c r="Z66" s="132">
        <v>150</v>
      </c>
      <c r="AA66" s="132"/>
      <c r="AB66" s="132">
        <v>150</v>
      </c>
      <c r="AC66" s="132"/>
      <c r="AD66" s="132"/>
      <c r="AE66" s="132"/>
      <c r="AF66" s="132"/>
      <c r="AG66" s="132"/>
      <c r="AH66" s="132"/>
      <c r="AI66" s="132"/>
      <c r="AJ66" s="132"/>
      <c r="AK66" s="132"/>
      <c r="AL66" s="132"/>
      <c r="AM66" s="132"/>
      <c r="AN66" s="132"/>
      <c r="AO66" s="132"/>
      <c r="AP66" s="132"/>
      <c r="AQ66" s="90"/>
      <c r="AR66" s="112" t="s">
        <v>380</v>
      </c>
      <c r="AS66" s="925" t="s">
        <v>381</v>
      </c>
      <c r="AT66" s="123" t="s">
        <v>375</v>
      </c>
      <c r="AU66" s="55"/>
      <c r="AV66" s="157"/>
      <c r="AW66" s="158" t="s">
        <v>376</v>
      </c>
      <c r="AX66" s="158" t="s">
        <v>91</v>
      </c>
      <c r="AY66" s="158" t="str">
        <f t="shared" ref="AY66:AY71" si="60">AX66&amp;AW66</f>
        <v>工业钦北区</v>
      </c>
      <c r="AZ66" s="158" t="str">
        <f t="shared" si="53"/>
        <v>工业</v>
      </c>
      <c r="BA66" s="159"/>
      <c r="BB66" s="160"/>
      <c r="BC66" s="157"/>
      <c r="BD66" s="157"/>
      <c r="BE66" s="157"/>
      <c r="BF66" s="157"/>
      <c r="BG66" s="157"/>
      <c r="BH66" s="929"/>
      <c r="BI66" s="157" t="str">
        <f t="shared" ref="BI66:BI71" si="61">AT66&amp;H66</f>
        <v>钦北区人民政府8月</v>
      </c>
      <c r="BJ66" s="157" t="s">
        <v>92</v>
      </c>
      <c r="BK66" s="157" t="s">
        <v>93</v>
      </c>
      <c r="BL66" s="201" t="str">
        <f t="shared" ref="BL66:BL71" si="62">BJ66&amp;AT66</f>
        <v>企业钦北区人民政府</v>
      </c>
      <c r="BM66" s="201" t="str">
        <f t="shared" ref="BM66:BM71" si="63">BK66&amp;AT66</f>
        <v>产业钦北区人民政府</v>
      </c>
      <c r="BN66" s="201">
        <f t="shared" ref="BN66:BN71" si="64">IF(O66&gt;0,1,0)</f>
        <v>0</v>
      </c>
    </row>
    <row r="67" s="9" customFormat="1" ht="62.1" customHeight="1" spans="1:66">
      <c r="A67" s="23">
        <f>SUBTOTAL(3,C$11:C67)</f>
        <v>50</v>
      </c>
      <c r="B67" s="55" t="s">
        <v>382</v>
      </c>
      <c r="C67" s="23" t="s">
        <v>79</v>
      </c>
      <c r="D67" s="55" t="s">
        <v>383</v>
      </c>
      <c r="E67" s="35" t="s">
        <v>112</v>
      </c>
      <c r="F67" s="156">
        <v>20000</v>
      </c>
      <c r="G67" s="156"/>
      <c r="H67" s="83" t="s">
        <v>263</v>
      </c>
      <c r="I67" s="83"/>
      <c r="J67" s="83"/>
      <c r="K67" s="578">
        <v>1800</v>
      </c>
      <c r="L67" s="36">
        <v>5000</v>
      </c>
      <c r="M67" s="36"/>
      <c r="N67" s="112" t="s">
        <v>384</v>
      </c>
      <c r="O67" s="111"/>
      <c r="P67" s="67"/>
      <c r="Q67" s="134" t="s">
        <v>115</v>
      </c>
      <c r="R67" s="134" t="s">
        <v>115</v>
      </c>
      <c r="S67" s="134"/>
      <c r="T67" s="134"/>
      <c r="U67" s="134"/>
      <c r="V67" s="134"/>
      <c r="W67" s="134"/>
      <c r="X67" s="90" t="s">
        <v>385</v>
      </c>
      <c r="Y67" s="90" t="s">
        <v>386</v>
      </c>
      <c r="Z67" s="132">
        <v>30</v>
      </c>
      <c r="AA67" s="132">
        <v>30</v>
      </c>
      <c r="AB67" s="132"/>
      <c r="AC67" s="132"/>
      <c r="AD67" s="132"/>
      <c r="AE67" s="132"/>
      <c r="AF67" s="132"/>
      <c r="AG67" s="132"/>
      <c r="AH67" s="132"/>
      <c r="AI67" s="132"/>
      <c r="AJ67" s="132"/>
      <c r="AK67" s="132"/>
      <c r="AL67" s="132"/>
      <c r="AM67" s="132"/>
      <c r="AN67" s="132"/>
      <c r="AO67" s="132"/>
      <c r="AP67" s="132"/>
      <c r="AQ67" s="90"/>
      <c r="AR67" s="112" t="s">
        <v>387</v>
      </c>
      <c r="AS67" s="34" t="s">
        <v>388</v>
      </c>
      <c r="AT67" s="123" t="s">
        <v>375</v>
      </c>
      <c r="AU67" s="93"/>
      <c r="AV67" s="157"/>
      <c r="AW67" s="158" t="s">
        <v>376</v>
      </c>
      <c r="AX67" s="158" t="s">
        <v>91</v>
      </c>
      <c r="AY67" s="158" t="str">
        <f t="shared" si="60"/>
        <v>工业钦北区</v>
      </c>
      <c r="AZ67" s="158" t="str">
        <f t="shared" si="53"/>
        <v>工业</v>
      </c>
      <c r="BA67" s="169"/>
      <c r="BB67" s="160"/>
      <c r="BC67" s="165"/>
      <c r="BD67" s="157"/>
      <c r="BE67" s="157"/>
      <c r="BF67" s="157"/>
      <c r="BG67" s="157"/>
      <c r="BH67" s="157"/>
      <c r="BI67" s="157" t="str">
        <f t="shared" si="61"/>
        <v>钦北区人民政府7月</v>
      </c>
      <c r="BJ67" s="157" t="s">
        <v>92</v>
      </c>
      <c r="BK67" s="157" t="s">
        <v>93</v>
      </c>
      <c r="BL67" s="201" t="str">
        <f t="shared" si="62"/>
        <v>企业钦北区人民政府</v>
      </c>
      <c r="BM67" s="201" t="str">
        <f t="shared" si="63"/>
        <v>产业钦北区人民政府</v>
      </c>
      <c r="BN67" s="201">
        <f t="shared" si="64"/>
        <v>0</v>
      </c>
    </row>
    <row r="68" ht="63" customHeight="1" spans="1:66">
      <c r="A68" s="23">
        <f>SUBTOTAL(3,C$11:C68)</f>
        <v>51</v>
      </c>
      <c r="B68" s="60" t="s">
        <v>389</v>
      </c>
      <c r="C68" s="23" t="s">
        <v>79</v>
      </c>
      <c r="D68" s="88" t="s">
        <v>390</v>
      </c>
      <c r="E68" s="23" t="s">
        <v>112</v>
      </c>
      <c r="F68" s="891">
        <v>20000</v>
      </c>
      <c r="G68" s="891"/>
      <c r="H68" s="81" t="s">
        <v>122</v>
      </c>
      <c r="I68" s="81"/>
      <c r="J68" s="81"/>
      <c r="K68" s="37">
        <v>2200</v>
      </c>
      <c r="L68" s="36">
        <v>5000</v>
      </c>
      <c r="M68" s="36"/>
      <c r="N68" s="112" t="s">
        <v>379</v>
      </c>
      <c r="O68" s="111"/>
      <c r="P68" s="67"/>
      <c r="Q68" s="134" t="s">
        <v>115</v>
      </c>
      <c r="R68" s="134" t="s">
        <v>115</v>
      </c>
      <c r="S68" s="134"/>
      <c r="T68" s="134"/>
      <c r="U68" s="134"/>
      <c r="V68" s="134"/>
      <c r="W68" s="134"/>
      <c r="X68" s="90" t="s">
        <v>391</v>
      </c>
      <c r="Y68" s="90" t="s">
        <v>392</v>
      </c>
      <c r="Z68" s="132">
        <v>129</v>
      </c>
      <c r="AA68" s="132">
        <v>70</v>
      </c>
      <c r="AB68" s="132">
        <v>59</v>
      </c>
      <c r="AC68" s="132"/>
      <c r="AD68" s="132"/>
      <c r="AE68" s="132"/>
      <c r="AF68" s="132"/>
      <c r="AG68" s="132"/>
      <c r="AH68" s="132"/>
      <c r="AI68" s="132"/>
      <c r="AJ68" s="132"/>
      <c r="AK68" s="132"/>
      <c r="AL68" s="132"/>
      <c r="AM68" s="132"/>
      <c r="AN68" s="132"/>
      <c r="AO68" s="132"/>
      <c r="AP68" s="132"/>
      <c r="AQ68" s="90"/>
      <c r="AR68" s="112" t="s">
        <v>393</v>
      </c>
      <c r="AS68" s="123" t="s">
        <v>394</v>
      </c>
      <c r="AT68" s="123" t="s">
        <v>375</v>
      </c>
      <c r="AU68" s="93"/>
      <c r="AV68" s="157"/>
      <c r="AW68" s="158" t="s">
        <v>376</v>
      </c>
      <c r="AX68" s="158" t="s">
        <v>91</v>
      </c>
      <c r="AY68" s="158" t="str">
        <f t="shared" si="60"/>
        <v>工业钦北区</v>
      </c>
      <c r="AZ68" s="158" t="str">
        <f t="shared" si="53"/>
        <v>工业</v>
      </c>
      <c r="BA68" s="159"/>
      <c r="BB68" s="160"/>
      <c r="BC68" s="157"/>
      <c r="BD68" s="157"/>
      <c r="BE68" s="157"/>
      <c r="BF68" s="157"/>
      <c r="BG68" s="157"/>
      <c r="BH68" s="929"/>
      <c r="BI68" s="157" t="str">
        <f t="shared" si="61"/>
        <v>钦北区人民政府6月</v>
      </c>
      <c r="BJ68" s="157" t="s">
        <v>92</v>
      </c>
      <c r="BK68" s="157" t="s">
        <v>93</v>
      </c>
      <c r="BL68" s="201" t="str">
        <f t="shared" si="62"/>
        <v>企业钦北区人民政府</v>
      </c>
      <c r="BM68" s="201" t="str">
        <f t="shared" si="63"/>
        <v>产业钦北区人民政府</v>
      </c>
      <c r="BN68" s="201">
        <f t="shared" si="64"/>
        <v>0</v>
      </c>
    </row>
    <row r="69" ht="63" customHeight="1" spans="1:66">
      <c r="A69" s="23">
        <f>SUBTOTAL(3,C$11:C69)</f>
        <v>52</v>
      </c>
      <c r="B69" s="55" t="s">
        <v>395</v>
      </c>
      <c r="C69" s="23" t="s">
        <v>79</v>
      </c>
      <c r="D69" s="88" t="s">
        <v>396</v>
      </c>
      <c r="E69" s="35" t="s">
        <v>112</v>
      </c>
      <c r="F69" s="35">
        <v>16000</v>
      </c>
      <c r="G69" s="35"/>
      <c r="H69" s="81" t="s">
        <v>144</v>
      </c>
      <c r="I69" s="81"/>
      <c r="J69" s="37">
        <v>300</v>
      </c>
      <c r="K69" s="37">
        <v>2400</v>
      </c>
      <c r="L69" s="36">
        <v>5000</v>
      </c>
      <c r="M69" s="36"/>
      <c r="N69" s="112" t="s">
        <v>397</v>
      </c>
      <c r="O69" s="111"/>
      <c r="P69" s="67"/>
      <c r="Q69" s="265" t="s">
        <v>115</v>
      </c>
      <c r="R69" s="265" t="s">
        <v>115</v>
      </c>
      <c r="S69" s="265" t="s">
        <v>115</v>
      </c>
      <c r="T69" s="265" t="s">
        <v>115</v>
      </c>
      <c r="U69" s="134"/>
      <c r="V69" s="134"/>
      <c r="W69" s="134"/>
      <c r="X69" s="90" t="s">
        <v>398</v>
      </c>
      <c r="Y69" s="90" t="s">
        <v>372</v>
      </c>
      <c r="Z69" s="132">
        <v>60</v>
      </c>
      <c r="AA69" s="132"/>
      <c r="AB69" s="132">
        <v>60</v>
      </c>
      <c r="AC69" s="132"/>
      <c r="AD69" s="132"/>
      <c r="AE69" s="132"/>
      <c r="AF69" s="132"/>
      <c r="AG69" s="132"/>
      <c r="AH69" s="132"/>
      <c r="AI69" s="132"/>
      <c r="AJ69" s="132"/>
      <c r="AK69" s="132"/>
      <c r="AL69" s="132"/>
      <c r="AM69" s="132"/>
      <c r="AN69" s="132"/>
      <c r="AO69" s="132"/>
      <c r="AP69" s="132"/>
      <c r="AQ69" s="90"/>
      <c r="AR69" s="112" t="s">
        <v>399</v>
      </c>
      <c r="AS69" s="34" t="s">
        <v>400</v>
      </c>
      <c r="AT69" s="123" t="s">
        <v>375</v>
      </c>
      <c r="AU69" s="93"/>
      <c r="AV69" s="157"/>
      <c r="AW69" s="158" t="s">
        <v>376</v>
      </c>
      <c r="AX69" s="158" t="s">
        <v>91</v>
      </c>
      <c r="AY69" s="158" t="str">
        <f t="shared" si="60"/>
        <v>工业钦北区</v>
      </c>
      <c r="AZ69" s="158" t="str">
        <f t="shared" si="53"/>
        <v>工业</v>
      </c>
      <c r="BA69" s="159"/>
      <c r="BB69" s="160"/>
      <c r="BC69" s="157"/>
      <c r="BD69" s="157"/>
      <c r="BE69" s="157"/>
      <c r="BF69" s="157"/>
      <c r="BG69" s="157"/>
      <c r="BH69" s="181"/>
      <c r="BI69" s="157" t="str">
        <f t="shared" si="61"/>
        <v>钦北区人民政府5月</v>
      </c>
      <c r="BJ69" s="157" t="s">
        <v>92</v>
      </c>
      <c r="BK69" s="157" t="s">
        <v>93</v>
      </c>
      <c r="BL69" s="201" t="str">
        <f t="shared" si="62"/>
        <v>企业钦北区人民政府</v>
      </c>
      <c r="BM69" s="201" t="str">
        <f t="shared" si="63"/>
        <v>产业钦北区人民政府</v>
      </c>
      <c r="BN69" s="201">
        <f t="shared" si="64"/>
        <v>0</v>
      </c>
    </row>
    <row r="70" ht="69.95" customHeight="1" spans="1:66">
      <c r="A70" s="23">
        <f>SUBTOTAL(3,C$11:C70)</f>
        <v>53</v>
      </c>
      <c r="B70" s="55" t="s">
        <v>401</v>
      </c>
      <c r="C70" s="23" t="s">
        <v>79</v>
      </c>
      <c r="D70" s="55" t="s">
        <v>402</v>
      </c>
      <c r="E70" s="35" t="s">
        <v>112</v>
      </c>
      <c r="F70" s="36">
        <v>12500</v>
      </c>
      <c r="G70" s="36"/>
      <c r="H70" s="81" t="s">
        <v>195</v>
      </c>
      <c r="I70" s="81"/>
      <c r="J70" s="37">
        <v>750</v>
      </c>
      <c r="K70" s="37">
        <v>3000</v>
      </c>
      <c r="L70" s="36">
        <v>5000</v>
      </c>
      <c r="M70" s="36"/>
      <c r="N70" s="112" t="s">
        <v>403</v>
      </c>
      <c r="O70" s="111"/>
      <c r="P70" s="67"/>
      <c r="Q70" s="134" t="s">
        <v>115</v>
      </c>
      <c r="R70" s="134" t="s">
        <v>115</v>
      </c>
      <c r="S70" s="134"/>
      <c r="T70" s="134"/>
      <c r="U70" s="134"/>
      <c r="V70" s="134"/>
      <c r="W70" s="134"/>
      <c r="X70" s="90" t="s">
        <v>404</v>
      </c>
      <c r="Y70" s="90" t="s">
        <v>117</v>
      </c>
      <c r="Z70" s="132">
        <v>43</v>
      </c>
      <c r="AA70" s="132">
        <v>43</v>
      </c>
      <c r="AB70" s="132"/>
      <c r="AC70" s="132"/>
      <c r="AD70" s="132"/>
      <c r="AE70" s="132"/>
      <c r="AF70" s="132"/>
      <c r="AG70" s="132"/>
      <c r="AH70" s="132"/>
      <c r="AI70" s="132"/>
      <c r="AJ70" s="132"/>
      <c r="AK70" s="132"/>
      <c r="AL70" s="132"/>
      <c r="AM70" s="132"/>
      <c r="AN70" s="132"/>
      <c r="AO70" s="132"/>
      <c r="AP70" s="132"/>
      <c r="AQ70" s="90"/>
      <c r="AR70" s="112" t="s">
        <v>405</v>
      </c>
      <c r="AS70" s="34" t="s">
        <v>406</v>
      </c>
      <c r="AT70" s="123" t="s">
        <v>375</v>
      </c>
      <c r="AU70" s="93"/>
      <c r="AV70" s="157"/>
      <c r="AW70" s="158" t="s">
        <v>376</v>
      </c>
      <c r="AX70" s="158" t="s">
        <v>91</v>
      </c>
      <c r="AY70" s="158" t="str">
        <f t="shared" si="60"/>
        <v>工业钦北区</v>
      </c>
      <c r="AZ70" s="158" t="str">
        <f t="shared" si="53"/>
        <v>工业</v>
      </c>
      <c r="BA70" s="159"/>
      <c r="BB70" s="160"/>
      <c r="BC70" s="157"/>
      <c r="BD70" s="157"/>
      <c r="BE70" s="157"/>
      <c r="BF70" s="157"/>
      <c r="BG70" s="157"/>
      <c r="BH70" s="181"/>
      <c r="BI70" s="157" t="str">
        <f t="shared" si="61"/>
        <v>钦北区人民政府3月</v>
      </c>
      <c r="BJ70" s="157" t="s">
        <v>92</v>
      </c>
      <c r="BK70" s="157" t="s">
        <v>93</v>
      </c>
      <c r="BL70" s="201" t="str">
        <f t="shared" si="62"/>
        <v>企业钦北区人民政府</v>
      </c>
      <c r="BM70" s="201" t="str">
        <f t="shared" si="63"/>
        <v>产业钦北区人民政府</v>
      </c>
      <c r="BN70" s="201">
        <f t="shared" si="64"/>
        <v>0</v>
      </c>
    </row>
    <row r="71" ht="69.95" customHeight="1" spans="1:66">
      <c r="A71" s="23">
        <f>SUBTOTAL(3,C$11:C71)</f>
        <v>54</v>
      </c>
      <c r="B71" s="60" t="s">
        <v>407</v>
      </c>
      <c r="C71" s="23" t="s">
        <v>79</v>
      </c>
      <c r="D71" s="60" t="s">
        <v>408</v>
      </c>
      <c r="E71" s="23" t="s">
        <v>112</v>
      </c>
      <c r="F71" s="67">
        <v>12000</v>
      </c>
      <c r="G71" s="67"/>
      <c r="H71" s="81" t="s">
        <v>113</v>
      </c>
      <c r="I71" s="81"/>
      <c r="J71" s="81"/>
      <c r="K71" s="81"/>
      <c r="L71" s="36">
        <v>2000</v>
      </c>
      <c r="M71" s="36"/>
      <c r="N71" s="112" t="s">
        <v>409</v>
      </c>
      <c r="O71" s="256"/>
      <c r="P71" s="257"/>
      <c r="Q71" s="265" t="s">
        <v>115</v>
      </c>
      <c r="R71" s="265" t="s">
        <v>115</v>
      </c>
      <c r="S71" s="265" t="s">
        <v>115</v>
      </c>
      <c r="T71" s="265"/>
      <c r="U71" s="265"/>
      <c r="V71" s="265"/>
      <c r="W71" s="265"/>
      <c r="X71" s="90" t="s">
        <v>410</v>
      </c>
      <c r="Y71" s="90" t="s">
        <v>372</v>
      </c>
      <c r="Z71" s="132">
        <v>40</v>
      </c>
      <c r="AA71" s="132"/>
      <c r="AB71" s="132">
        <v>40</v>
      </c>
      <c r="AC71" s="132"/>
      <c r="AD71" s="132"/>
      <c r="AE71" s="132"/>
      <c r="AF71" s="132"/>
      <c r="AG71" s="132"/>
      <c r="AH71" s="132"/>
      <c r="AI71" s="132"/>
      <c r="AJ71" s="132"/>
      <c r="AK71" s="132"/>
      <c r="AL71" s="132"/>
      <c r="AM71" s="132"/>
      <c r="AN71" s="132"/>
      <c r="AO71" s="132"/>
      <c r="AP71" s="132"/>
      <c r="AQ71" s="90"/>
      <c r="AR71" s="112" t="s">
        <v>117</v>
      </c>
      <c r="AS71" s="123" t="s">
        <v>411</v>
      </c>
      <c r="AT71" s="123" t="s">
        <v>375</v>
      </c>
      <c r="AU71" s="93"/>
      <c r="AV71" s="157"/>
      <c r="AW71" s="158" t="s">
        <v>376</v>
      </c>
      <c r="AX71" s="158" t="s">
        <v>91</v>
      </c>
      <c r="AY71" s="158" t="str">
        <f t="shared" si="60"/>
        <v>工业钦北区</v>
      </c>
      <c r="AZ71" s="158" t="str">
        <f t="shared" si="53"/>
        <v>工业</v>
      </c>
      <c r="BA71" s="159"/>
      <c r="BB71" s="160"/>
      <c r="BC71" s="157"/>
      <c r="BD71" s="157"/>
      <c r="BE71" s="157"/>
      <c r="BF71" s="157"/>
      <c r="BG71" s="157"/>
      <c r="BH71" s="929"/>
      <c r="BI71" s="157" t="str">
        <f t="shared" si="61"/>
        <v>钦北区人民政府9月</v>
      </c>
      <c r="BJ71" s="157" t="s">
        <v>92</v>
      </c>
      <c r="BK71" s="157" t="s">
        <v>93</v>
      </c>
      <c r="BL71" s="201" t="str">
        <f t="shared" si="62"/>
        <v>企业钦北区人民政府</v>
      </c>
      <c r="BM71" s="201" t="str">
        <f t="shared" si="63"/>
        <v>产业钦北区人民政府</v>
      </c>
      <c r="BN71" s="201">
        <f t="shared" si="64"/>
        <v>0</v>
      </c>
    </row>
    <row r="72" s="9" customFormat="1" ht="30" customHeight="1" spans="1:66">
      <c r="A72" s="551" t="s">
        <v>412</v>
      </c>
      <c r="B72" s="557" t="str">
        <f>"能源（"&amp;SUBTOTAL(3,C73:C78)&amp;"个）"</f>
        <v>能源（6个）</v>
      </c>
      <c r="C72" s="557"/>
      <c r="D72" s="557"/>
      <c r="E72" s="551"/>
      <c r="F72" s="134">
        <f t="shared" ref="F72:L72" si="65">SUBTOTAL(9,F73:F78)</f>
        <v>303849</v>
      </c>
      <c r="G72" s="134"/>
      <c r="H72" s="134"/>
      <c r="I72" s="134">
        <f t="shared" si="65"/>
        <v>4050</v>
      </c>
      <c r="J72" s="134">
        <f t="shared" si="65"/>
        <v>25000</v>
      </c>
      <c r="K72" s="134">
        <f t="shared" si="65"/>
        <v>49000</v>
      </c>
      <c r="L72" s="134">
        <f t="shared" si="65"/>
        <v>76000</v>
      </c>
      <c r="M72" s="134">
        <f>SUBTOTAL(9,M73:M76)</f>
        <v>0</v>
      </c>
      <c r="N72" s="591"/>
      <c r="O72" s="67"/>
      <c r="P72" s="67"/>
      <c r="Q72" s="134"/>
      <c r="R72" s="134"/>
      <c r="S72" s="134"/>
      <c r="T72" s="134"/>
      <c r="U72" s="134"/>
      <c r="V72" s="134"/>
      <c r="W72" s="134"/>
      <c r="X72" s="90"/>
      <c r="Y72" s="674"/>
      <c r="Z72" s="134">
        <f t="shared" ref="Z72:AP72" si="66">SUBTOTAL(9,Z73:Z76)</f>
        <v>126</v>
      </c>
      <c r="AA72" s="134">
        <f t="shared" si="66"/>
        <v>113</v>
      </c>
      <c r="AB72" s="134">
        <f t="shared" si="66"/>
        <v>13</v>
      </c>
      <c r="AC72" s="134">
        <f t="shared" si="66"/>
        <v>0</v>
      </c>
      <c r="AD72" s="134">
        <f t="shared" si="66"/>
        <v>0</v>
      </c>
      <c r="AE72" s="134">
        <f t="shared" si="66"/>
        <v>0</v>
      </c>
      <c r="AF72" s="134">
        <f t="shared" si="66"/>
        <v>0</v>
      </c>
      <c r="AG72" s="134">
        <f t="shared" si="66"/>
        <v>0</v>
      </c>
      <c r="AH72" s="134">
        <f t="shared" si="66"/>
        <v>0</v>
      </c>
      <c r="AI72" s="134">
        <f t="shared" si="66"/>
        <v>72</v>
      </c>
      <c r="AJ72" s="134">
        <f t="shared" si="66"/>
        <v>51</v>
      </c>
      <c r="AK72" s="134">
        <f t="shared" si="66"/>
        <v>21</v>
      </c>
      <c r="AL72" s="134">
        <f t="shared" si="66"/>
        <v>0</v>
      </c>
      <c r="AM72" s="134">
        <f t="shared" si="66"/>
        <v>0</v>
      </c>
      <c r="AN72" s="134">
        <f t="shared" si="66"/>
        <v>0</v>
      </c>
      <c r="AO72" s="134">
        <f t="shared" si="66"/>
        <v>0</v>
      </c>
      <c r="AP72" s="134">
        <f t="shared" si="66"/>
        <v>0</v>
      </c>
      <c r="AQ72" s="674"/>
      <c r="AR72" s="244"/>
      <c r="AS72" s="591"/>
      <c r="AT72" s="591"/>
      <c r="AU72" s="93"/>
      <c r="AV72" s="165"/>
      <c r="AW72" s="158"/>
      <c r="AX72" s="158"/>
      <c r="AY72" s="158"/>
      <c r="AZ72" s="158"/>
      <c r="BA72" s="169"/>
      <c r="BB72" s="165"/>
      <c r="BC72" s="165"/>
      <c r="BD72" s="165"/>
      <c r="BE72" s="169"/>
      <c r="BF72" s="169"/>
      <c r="BG72" s="169"/>
      <c r="BI72" s="165"/>
      <c r="BJ72" s="157"/>
      <c r="BK72" s="157"/>
      <c r="BM72" s="201"/>
      <c r="BN72" s="7"/>
    </row>
    <row r="73" ht="60" customHeight="1" spans="1:66">
      <c r="A73" s="23">
        <f>SUBTOTAL(3,C$11:C73)</f>
        <v>55</v>
      </c>
      <c r="B73" s="55" t="s">
        <v>413</v>
      </c>
      <c r="C73" s="35" t="s">
        <v>79</v>
      </c>
      <c r="D73" s="55" t="s">
        <v>414</v>
      </c>
      <c r="E73" s="35" t="s">
        <v>81</v>
      </c>
      <c r="F73" s="36">
        <v>87078</v>
      </c>
      <c r="G73" s="36"/>
      <c r="H73" s="83" t="s">
        <v>195</v>
      </c>
      <c r="I73" s="37">
        <v>2000</v>
      </c>
      <c r="J73" s="37">
        <v>15000</v>
      </c>
      <c r="K73" s="37">
        <v>25000</v>
      </c>
      <c r="L73" s="36">
        <v>40000</v>
      </c>
      <c r="M73" s="36"/>
      <c r="N73" s="112" t="s">
        <v>415</v>
      </c>
      <c r="O73" s="111"/>
      <c r="P73" s="67"/>
      <c r="Q73" s="115" t="s">
        <v>115</v>
      </c>
      <c r="R73" s="115" t="s">
        <v>115</v>
      </c>
      <c r="S73" s="115" t="s">
        <v>115</v>
      </c>
      <c r="T73" s="115" t="s">
        <v>115</v>
      </c>
      <c r="U73" s="115" t="s">
        <v>115</v>
      </c>
      <c r="V73" s="115" t="s">
        <v>115</v>
      </c>
      <c r="W73" s="115" t="s">
        <v>115</v>
      </c>
      <c r="X73" s="90" t="s">
        <v>416</v>
      </c>
      <c r="Y73" s="90" t="s">
        <v>417</v>
      </c>
      <c r="Z73" s="132">
        <v>40</v>
      </c>
      <c r="AA73" s="132">
        <v>40</v>
      </c>
      <c r="AB73" s="132"/>
      <c r="AC73" s="132"/>
      <c r="AD73" s="132"/>
      <c r="AE73" s="132"/>
      <c r="AF73" s="132"/>
      <c r="AG73" s="132"/>
      <c r="AH73" s="132"/>
      <c r="AI73" s="132">
        <v>21</v>
      </c>
      <c r="AJ73" s="132"/>
      <c r="AK73" s="132">
        <v>21</v>
      </c>
      <c r="AL73" s="132"/>
      <c r="AM73" s="132"/>
      <c r="AN73" s="132"/>
      <c r="AO73" s="132"/>
      <c r="AP73" s="132"/>
      <c r="AQ73" s="90"/>
      <c r="AR73" s="112" t="s">
        <v>418</v>
      </c>
      <c r="AS73" s="34" t="s">
        <v>419</v>
      </c>
      <c r="AT73" s="34" t="s">
        <v>269</v>
      </c>
      <c r="AU73" s="93"/>
      <c r="AV73" s="157"/>
      <c r="AW73" s="158" t="s">
        <v>270</v>
      </c>
      <c r="AX73" s="158" t="s">
        <v>420</v>
      </c>
      <c r="AY73" s="158" t="str">
        <f t="shared" ref="AY73:AY78" si="67">AX73&amp;AW73</f>
        <v>能源灵山县</v>
      </c>
      <c r="AZ73" s="158" t="s">
        <v>91</v>
      </c>
      <c r="BA73" s="159"/>
      <c r="BB73" s="160"/>
      <c r="BC73" s="157"/>
      <c r="BD73" s="157"/>
      <c r="BE73" s="157"/>
      <c r="BF73" s="157"/>
      <c r="BG73" s="157"/>
      <c r="BH73" s="181"/>
      <c r="BI73" s="157" t="str">
        <f t="shared" ref="BI73:BI78" si="68">AT73&amp;H73</f>
        <v>灵山县人民政府3月</v>
      </c>
      <c r="BJ73" s="157" t="s">
        <v>92</v>
      </c>
      <c r="BK73" s="157" t="s">
        <v>93</v>
      </c>
      <c r="BL73" s="201" t="str">
        <f t="shared" ref="BL73:BL78" si="69">BJ73&amp;AT73</f>
        <v>企业灵山县人民政府</v>
      </c>
      <c r="BM73" s="201" t="str">
        <f t="shared" ref="BM73:BM78" si="70">BK73&amp;AT73</f>
        <v>产业灵山县人民政府</v>
      </c>
      <c r="BN73" s="201">
        <f t="shared" ref="BN73:BN76" si="71">IF(O73&gt;0,1,0)</f>
        <v>0</v>
      </c>
    </row>
    <row r="74" ht="78.75" customHeight="1" spans="1:66">
      <c r="A74" s="23">
        <f>SUBTOTAL(3,C$11:C74)</f>
        <v>56</v>
      </c>
      <c r="B74" s="55" t="s">
        <v>421</v>
      </c>
      <c r="C74" s="35" t="s">
        <v>79</v>
      </c>
      <c r="D74" s="55" t="s">
        <v>422</v>
      </c>
      <c r="E74" s="35" t="s">
        <v>112</v>
      </c>
      <c r="F74" s="36">
        <v>40000</v>
      </c>
      <c r="G74" s="36"/>
      <c r="H74" s="83" t="s">
        <v>82</v>
      </c>
      <c r="I74" s="578"/>
      <c r="J74" s="578"/>
      <c r="K74" s="578"/>
      <c r="L74" s="36">
        <v>3000</v>
      </c>
      <c r="M74" s="36"/>
      <c r="N74" s="112" t="s">
        <v>284</v>
      </c>
      <c r="O74" s="111"/>
      <c r="P74" s="67"/>
      <c r="Q74" s="115"/>
      <c r="R74" s="115"/>
      <c r="S74" s="115"/>
      <c r="T74" s="115"/>
      <c r="U74" s="115"/>
      <c r="V74" s="115"/>
      <c r="W74" s="115"/>
      <c r="X74" s="90"/>
      <c r="Y74" s="90"/>
      <c r="Z74" s="132"/>
      <c r="AA74" s="132"/>
      <c r="AB74" s="132"/>
      <c r="AC74" s="132"/>
      <c r="AD74" s="132"/>
      <c r="AE74" s="132"/>
      <c r="AF74" s="132"/>
      <c r="AG74" s="132"/>
      <c r="AH74" s="132"/>
      <c r="AI74" s="132"/>
      <c r="AJ74" s="132"/>
      <c r="AK74" s="132"/>
      <c r="AL74" s="132"/>
      <c r="AM74" s="132"/>
      <c r="AN74" s="132"/>
      <c r="AO74" s="132"/>
      <c r="AP74" s="132"/>
      <c r="AQ74" s="90"/>
      <c r="AR74" s="112" t="s">
        <v>117</v>
      </c>
      <c r="AS74" s="34" t="s">
        <v>423</v>
      </c>
      <c r="AT74" s="34" t="s">
        <v>269</v>
      </c>
      <c r="AU74" s="93"/>
      <c r="AV74" s="157"/>
      <c r="AW74" s="158" t="s">
        <v>270</v>
      </c>
      <c r="AX74" s="158" t="s">
        <v>420</v>
      </c>
      <c r="AY74" s="158" t="str">
        <f t="shared" si="67"/>
        <v>能源灵山县</v>
      </c>
      <c r="AZ74" s="158" t="s">
        <v>91</v>
      </c>
      <c r="BA74" s="159"/>
      <c r="BB74" s="160"/>
      <c r="BC74" s="157"/>
      <c r="BD74" s="157"/>
      <c r="BE74" s="157"/>
      <c r="BF74" s="157"/>
      <c r="BG74" s="157"/>
      <c r="BH74" s="181"/>
      <c r="BI74" s="157" t="str">
        <f t="shared" si="68"/>
        <v>灵山县人民政府10月</v>
      </c>
      <c r="BJ74" s="157" t="s">
        <v>92</v>
      </c>
      <c r="BK74" s="157" t="s">
        <v>93</v>
      </c>
      <c r="BL74" s="201" t="str">
        <f t="shared" si="69"/>
        <v>企业灵山县人民政府</v>
      </c>
      <c r="BM74" s="201" t="str">
        <f t="shared" si="70"/>
        <v>产业灵山县人民政府</v>
      </c>
      <c r="BN74" s="201">
        <f t="shared" si="71"/>
        <v>0</v>
      </c>
    </row>
    <row r="75" ht="60" customHeight="1" spans="1:66">
      <c r="A75" s="23">
        <f>SUBTOTAL(3,C$11:C75)</f>
        <v>57</v>
      </c>
      <c r="B75" s="55" t="s">
        <v>424</v>
      </c>
      <c r="C75" s="35" t="s">
        <v>79</v>
      </c>
      <c r="D75" s="60" t="s">
        <v>425</v>
      </c>
      <c r="E75" s="35" t="s">
        <v>112</v>
      </c>
      <c r="F75" s="36">
        <v>37734</v>
      </c>
      <c r="G75" s="36"/>
      <c r="H75" s="81" t="s">
        <v>195</v>
      </c>
      <c r="I75" s="37">
        <v>1000</v>
      </c>
      <c r="J75" s="37">
        <v>5000</v>
      </c>
      <c r="K75" s="37">
        <v>14000</v>
      </c>
      <c r="L75" s="36">
        <v>20000</v>
      </c>
      <c r="M75" s="36"/>
      <c r="N75" s="112" t="s">
        <v>426</v>
      </c>
      <c r="O75" s="111"/>
      <c r="P75" s="67"/>
      <c r="Q75" s="115" t="s">
        <v>115</v>
      </c>
      <c r="R75" s="115" t="s">
        <v>115</v>
      </c>
      <c r="S75" s="115" t="s">
        <v>115</v>
      </c>
      <c r="T75" s="115" t="s">
        <v>115</v>
      </c>
      <c r="U75" s="115" t="s">
        <v>115</v>
      </c>
      <c r="V75" s="115" t="s">
        <v>115</v>
      </c>
      <c r="W75" s="115" t="s">
        <v>115</v>
      </c>
      <c r="X75" s="90" t="s">
        <v>427</v>
      </c>
      <c r="Y75" s="90" t="s">
        <v>428</v>
      </c>
      <c r="Z75" s="132">
        <v>86</v>
      </c>
      <c r="AA75" s="132">
        <v>73</v>
      </c>
      <c r="AB75" s="132">
        <v>13</v>
      </c>
      <c r="AC75" s="132"/>
      <c r="AD75" s="132"/>
      <c r="AE75" s="132"/>
      <c r="AF75" s="132"/>
      <c r="AG75" s="132"/>
      <c r="AH75" s="132"/>
      <c r="AI75" s="132">
        <v>51</v>
      </c>
      <c r="AJ75" s="132">
        <v>51</v>
      </c>
      <c r="AK75" s="251"/>
      <c r="AL75" s="251"/>
      <c r="AM75" s="251"/>
      <c r="AN75" s="251"/>
      <c r="AO75" s="251"/>
      <c r="AP75" s="251"/>
      <c r="AQ75" s="90"/>
      <c r="AR75" s="112" t="s">
        <v>117</v>
      </c>
      <c r="AS75" s="34" t="s">
        <v>429</v>
      </c>
      <c r="AT75" s="34" t="s">
        <v>269</v>
      </c>
      <c r="AU75" s="93"/>
      <c r="AV75" s="157"/>
      <c r="AW75" s="158" t="s">
        <v>270</v>
      </c>
      <c r="AX75" s="158" t="s">
        <v>420</v>
      </c>
      <c r="AY75" s="158" t="str">
        <f t="shared" si="67"/>
        <v>能源灵山县</v>
      </c>
      <c r="AZ75" s="158" t="s">
        <v>91</v>
      </c>
      <c r="BA75" s="159"/>
      <c r="BB75" s="160"/>
      <c r="BC75" s="157"/>
      <c r="BD75" s="157"/>
      <c r="BE75" s="157"/>
      <c r="BF75" s="157"/>
      <c r="BG75" s="157"/>
      <c r="BH75" s="181"/>
      <c r="BI75" s="157" t="str">
        <f t="shared" si="68"/>
        <v>灵山县人民政府3月</v>
      </c>
      <c r="BJ75" s="157" t="s">
        <v>92</v>
      </c>
      <c r="BK75" s="157" t="s">
        <v>93</v>
      </c>
      <c r="BL75" s="201" t="str">
        <f t="shared" si="69"/>
        <v>企业灵山县人民政府</v>
      </c>
      <c r="BM75" s="201" t="str">
        <f t="shared" si="70"/>
        <v>产业灵山县人民政府</v>
      </c>
      <c r="BN75" s="201"/>
    </row>
    <row r="76" s="6" customFormat="1" ht="63" customHeight="1" spans="1:66">
      <c r="A76" s="23">
        <f>SUBTOTAL(3,C$11:C76)</f>
        <v>58</v>
      </c>
      <c r="B76" s="55" t="s">
        <v>430</v>
      </c>
      <c r="C76" s="35" t="s">
        <v>79</v>
      </c>
      <c r="D76" s="55" t="s">
        <v>431</v>
      </c>
      <c r="E76" s="35">
        <v>2019</v>
      </c>
      <c r="F76" s="36">
        <v>3000</v>
      </c>
      <c r="G76" s="36"/>
      <c r="H76" s="83" t="s">
        <v>195</v>
      </c>
      <c r="I76" s="578">
        <v>50</v>
      </c>
      <c r="J76" s="578">
        <v>1500</v>
      </c>
      <c r="K76" s="578">
        <v>2500</v>
      </c>
      <c r="L76" s="36">
        <v>3000</v>
      </c>
      <c r="M76" s="36"/>
      <c r="N76" s="58" t="s">
        <v>432</v>
      </c>
      <c r="O76" s="56"/>
      <c r="P76" s="127"/>
      <c r="Q76" s="115"/>
      <c r="R76" s="115"/>
      <c r="S76" s="115"/>
      <c r="T76" s="115"/>
      <c r="U76" s="115"/>
      <c r="V76" s="115"/>
      <c r="W76" s="115"/>
      <c r="X76" s="55"/>
      <c r="Y76" s="90"/>
      <c r="Z76" s="132"/>
      <c r="AA76" s="132"/>
      <c r="AB76" s="132"/>
      <c r="AC76" s="132"/>
      <c r="AD76" s="132"/>
      <c r="AE76" s="132"/>
      <c r="AF76" s="132"/>
      <c r="AG76" s="132"/>
      <c r="AH76" s="132"/>
      <c r="AI76" s="132"/>
      <c r="AJ76" s="132"/>
      <c r="AK76" s="132"/>
      <c r="AL76" s="132"/>
      <c r="AM76" s="132"/>
      <c r="AN76" s="132"/>
      <c r="AO76" s="132"/>
      <c r="AP76" s="132"/>
      <c r="AQ76" s="90"/>
      <c r="AR76" s="112" t="s">
        <v>117</v>
      </c>
      <c r="AS76" s="34" t="s">
        <v>433</v>
      </c>
      <c r="AT76" s="34" t="s">
        <v>269</v>
      </c>
      <c r="AU76" s="171"/>
      <c r="AV76" s="157"/>
      <c r="AW76" s="158" t="s">
        <v>270</v>
      </c>
      <c r="AX76" s="158" t="s">
        <v>420</v>
      </c>
      <c r="AY76" s="158" t="str">
        <f t="shared" si="67"/>
        <v>能源灵山县</v>
      </c>
      <c r="AZ76" s="158" t="s">
        <v>91</v>
      </c>
      <c r="BA76" s="167"/>
      <c r="BB76" s="160"/>
      <c r="BC76" s="157"/>
      <c r="BD76" s="157"/>
      <c r="BE76" s="157"/>
      <c r="BF76" s="157"/>
      <c r="BG76" s="157"/>
      <c r="BH76" s="157"/>
      <c r="BI76" s="157" t="str">
        <f t="shared" si="68"/>
        <v>灵山县人民政府3月</v>
      </c>
      <c r="BJ76" s="157" t="s">
        <v>92</v>
      </c>
      <c r="BK76" s="157" t="s">
        <v>93</v>
      </c>
      <c r="BL76" s="201" t="str">
        <f t="shared" si="69"/>
        <v>企业灵山县人民政府</v>
      </c>
      <c r="BM76" s="201" t="str">
        <f t="shared" si="70"/>
        <v>产业灵山县人民政府</v>
      </c>
      <c r="BN76" s="201">
        <f t="shared" si="71"/>
        <v>0</v>
      </c>
    </row>
    <row r="77" s="7" customFormat="1" ht="63" customHeight="1" spans="1:66">
      <c r="A77" s="23">
        <f>SUBTOTAL(3,C$11:C77)</f>
        <v>59</v>
      </c>
      <c r="B77" s="55" t="s">
        <v>434</v>
      </c>
      <c r="C77" s="87" t="s">
        <v>79</v>
      </c>
      <c r="D77" s="55" t="s">
        <v>435</v>
      </c>
      <c r="E77" s="35" t="s">
        <v>112</v>
      </c>
      <c r="F77" s="36">
        <v>97912</v>
      </c>
      <c r="G77" s="36"/>
      <c r="H77" s="83" t="s">
        <v>195</v>
      </c>
      <c r="I77" s="38">
        <v>1000</v>
      </c>
      <c r="J77" s="38">
        <v>2500</v>
      </c>
      <c r="K77" s="38">
        <v>4000</v>
      </c>
      <c r="L77" s="36">
        <v>5000</v>
      </c>
      <c r="M77" s="36"/>
      <c r="N77" s="112" t="s">
        <v>436</v>
      </c>
      <c r="O77" s="111"/>
      <c r="P77" s="67"/>
      <c r="Q77" s="134" t="s">
        <v>115</v>
      </c>
      <c r="R77" s="134" t="s">
        <v>115</v>
      </c>
      <c r="S77" s="134" t="s">
        <v>115</v>
      </c>
      <c r="T77" s="134" t="s">
        <v>115</v>
      </c>
      <c r="U77" s="134" t="s">
        <v>115</v>
      </c>
      <c r="V77" s="134"/>
      <c r="W77" s="134" t="s">
        <v>115</v>
      </c>
      <c r="X77" s="90" t="s">
        <v>437</v>
      </c>
      <c r="Y77" s="90" t="s">
        <v>438</v>
      </c>
      <c r="Z77" s="252">
        <v>60</v>
      </c>
      <c r="AA77" s="252"/>
      <c r="AB77" s="252">
        <v>60</v>
      </c>
      <c r="AC77" s="252">
        <v>800</v>
      </c>
      <c r="AD77" s="252">
        <v>800</v>
      </c>
      <c r="AE77" s="252"/>
      <c r="AF77" s="252"/>
      <c r="AG77" s="252"/>
      <c r="AH77" s="252"/>
      <c r="AI77" s="252"/>
      <c r="AJ77" s="252"/>
      <c r="AK77" s="252"/>
      <c r="AL77" s="252"/>
      <c r="AM77" s="252"/>
      <c r="AN77" s="252"/>
      <c r="AO77" s="252">
        <v>5000</v>
      </c>
      <c r="AP77" s="252"/>
      <c r="AQ77" s="90"/>
      <c r="AR77" s="112" t="s">
        <v>439</v>
      </c>
      <c r="AS77" s="34" t="s">
        <v>440</v>
      </c>
      <c r="AT77" s="34" t="s">
        <v>359</v>
      </c>
      <c r="AU77" s="93"/>
      <c r="AV77" s="157"/>
      <c r="AW77" s="158" t="s">
        <v>360</v>
      </c>
      <c r="AX77" s="158" t="s">
        <v>420</v>
      </c>
      <c r="AY77" s="158" t="str">
        <f t="shared" si="67"/>
        <v>能源钦南区</v>
      </c>
      <c r="AZ77" s="158" t="s">
        <v>91</v>
      </c>
      <c r="BA77" s="159"/>
      <c r="BB77" s="160"/>
      <c r="BC77" s="157"/>
      <c r="BD77" s="157"/>
      <c r="BE77" s="157"/>
      <c r="BF77" s="157"/>
      <c r="BG77" s="157"/>
      <c r="BH77" s="181"/>
      <c r="BI77" s="157" t="str">
        <f t="shared" si="68"/>
        <v>钦南区人民政府3月</v>
      </c>
      <c r="BJ77" s="157" t="s">
        <v>92</v>
      </c>
      <c r="BK77" s="157" t="s">
        <v>93</v>
      </c>
      <c r="BL77" s="201" t="str">
        <f t="shared" si="69"/>
        <v>企业钦南区人民政府</v>
      </c>
      <c r="BM77" s="201" t="str">
        <f t="shared" si="70"/>
        <v>产业钦南区人民政府</v>
      </c>
      <c r="BN77" s="201"/>
    </row>
    <row r="78" s="7" customFormat="1" ht="66.75" customHeight="1" spans="1:66">
      <c r="A78" s="23">
        <f>SUBTOTAL(3,C$11:C78)</f>
        <v>60</v>
      </c>
      <c r="B78" s="55" t="s">
        <v>441</v>
      </c>
      <c r="C78" s="87" t="s">
        <v>79</v>
      </c>
      <c r="D78" s="55" t="s">
        <v>442</v>
      </c>
      <c r="E78" s="35" t="s">
        <v>112</v>
      </c>
      <c r="F78" s="36">
        <v>38125</v>
      </c>
      <c r="G78" s="36"/>
      <c r="H78" s="83" t="s">
        <v>122</v>
      </c>
      <c r="I78" s="83"/>
      <c r="J78" s="38">
        <v>1000</v>
      </c>
      <c r="K78" s="38">
        <v>3500</v>
      </c>
      <c r="L78" s="36">
        <v>5000</v>
      </c>
      <c r="M78" s="36"/>
      <c r="N78" s="112" t="s">
        <v>443</v>
      </c>
      <c r="O78" s="111"/>
      <c r="P78" s="67"/>
      <c r="Q78" s="134" t="s">
        <v>115</v>
      </c>
      <c r="R78" s="134" t="s">
        <v>115</v>
      </c>
      <c r="S78" s="134" t="s">
        <v>115</v>
      </c>
      <c r="T78" s="134" t="s">
        <v>115</v>
      </c>
      <c r="U78" s="134" t="s">
        <v>115</v>
      </c>
      <c r="V78" s="134"/>
      <c r="W78" s="134"/>
      <c r="X78" s="90" t="s">
        <v>444</v>
      </c>
      <c r="Y78" s="771" t="s">
        <v>445</v>
      </c>
      <c r="Z78" s="252">
        <v>60.3</v>
      </c>
      <c r="AA78" s="252"/>
      <c r="AB78" s="252">
        <v>60.3</v>
      </c>
      <c r="AC78" s="252">
        <v>58.6</v>
      </c>
      <c r="AD78" s="252"/>
      <c r="AE78" s="252">
        <v>58.6</v>
      </c>
      <c r="AF78" s="252"/>
      <c r="AG78" s="252"/>
      <c r="AH78" s="252"/>
      <c r="AI78" s="252"/>
      <c r="AJ78" s="252"/>
      <c r="AK78" s="252"/>
      <c r="AL78" s="252"/>
      <c r="AM78" s="252"/>
      <c r="AN78" s="252"/>
      <c r="AO78" s="252"/>
      <c r="AP78" s="252">
        <v>10000</v>
      </c>
      <c r="AQ78" s="90"/>
      <c r="AR78" s="112" t="s">
        <v>446</v>
      </c>
      <c r="AS78" s="34" t="s">
        <v>447</v>
      </c>
      <c r="AT78" s="34" t="s">
        <v>359</v>
      </c>
      <c r="AU78" s="93"/>
      <c r="AV78" s="157"/>
      <c r="AW78" s="158" t="s">
        <v>360</v>
      </c>
      <c r="AX78" s="158" t="s">
        <v>420</v>
      </c>
      <c r="AY78" s="158" t="str">
        <f t="shared" si="67"/>
        <v>能源钦南区</v>
      </c>
      <c r="AZ78" s="158" t="s">
        <v>91</v>
      </c>
      <c r="BA78" s="159"/>
      <c r="BB78" s="160"/>
      <c r="BC78" s="157"/>
      <c r="BD78" s="157"/>
      <c r="BE78" s="157"/>
      <c r="BF78" s="157"/>
      <c r="BG78" s="157"/>
      <c r="BH78" s="181"/>
      <c r="BI78" s="157" t="str">
        <f t="shared" si="68"/>
        <v>钦南区人民政府6月</v>
      </c>
      <c r="BJ78" s="157" t="s">
        <v>92</v>
      </c>
      <c r="BK78" s="157" t="s">
        <v>93</v>
      </c>
      <c r="BL78" s="201" t="str">
        <f t="shared" si="69"/>
        <v>企业钦南区人民政府</v>
      </c>
      <c r="BM78" s="201" t="str">
        <f t="shared" si="70"/>
        <v>产业钦南区人民政府</v>
      </c>
      <c r="BN78" s="201"/>
    </row>
    <row r="79" ht="30" customHeight="1" spans="1:47">
      <c r="A79" s="551" t="s">
        <v>448</v>
      </c>
      <c r="B79" s="557" t="str">
        <f>"服务业（"&amp;SUBTOTAL(3,C80:C99)&amp;"个）"</f>
        <v>服务业（20个）</v>
      </c>
      <c r="C79" s="557"/>
      <c r="D79" s="557"/>
      <c r="E79" s="551"/>
      <c r="F79" s="134">
        <f>SUM(F80:F99)</f>
        <v>1408668.22</v>
      </c>
      <c r="G79" s="134">
        <f t="shared" ref="G79:M79" si="72">SUM(G80:G99)</f>
        <v>0</v>
      </c>
      <c r="H79" s="134"/>
      <c r="I79" s="134">
        <f t="shared" si="72"/>
        <v>3160</v>
      </c>
      <c r="J79" s="134">
        <f t="shared" si="72"/>
        <v>11250</v>
      </c>
      <c r="K79" s="134">
        <f t="shared" si="72"/>
        <v>48280</v>
      </c>
      <c r="L79" s="134">
        <f t="shared" si="72"/>
        <v>113000</v>
      </c>
      <c r="M79" s="134">
        <f t="shared" si="72"/>
        <v>0</v>
      </c>
      <c r="N79" s="591"/>
      <c r="O79" s="67"/>
      <c r="P79" s="858"/>
      <c r="Q79" s="115"/>
      <c r="R79" s="115"/>
      <c r="S79" s="115"/>
      <c r="T79" s="115"/>
      <c r="U79" s="115"/>
      <c r="V79" s="115"/>
      <c r="W79" s="115"/>
      <c r="X79" s="674"/>
      <c r="Y79" s="90"/>
      <c r="Z79" s="134" t="e">
        <f>#REF!+#REF!+#REF!</f>
        <v>#REF!</v>
      </c>
      <c r="AA79" s="134" t="e">
        <f>#REF!+#REF!+#REF!</f>
        <v>#REF!</v>
      </c>
      <c r="AB79" s="134" t="e">
        <f>#REF!+#REF!+#REF!</f>
        <v>#REF!</v>
      </c>
      <c r="AC79" s="134" t="e">
        <f>#REF!+#REF!+#REF!</f>
        <v>#REF!</v>
      </c>
      <c r="AD79" s="134" t="e">
        <f>#REF!+#REF!+#REF!</f>
        <v>#REF!</v>
      </c>
      <c r="AE79" s="134" t="e">
        <f>#REF!+#REF!+#REF!</f>
        <v>#REF!</v>
      </c>
      <c r="AF79" s="134" t="e">
        <f>#REF!+#REF!+#REF!</f>
        <v>#REF!</v>
      </c>
      <c r="AG79" s="134" t="e">
        <f>#REF!+#REF!+#REF!</f>
        <v>#REF!</v>
      </c>
      <c r="AH79" s="134" t="e">
        <f>#REF!+#REF!+#REF!</f>
        <v>#REF!</v>
      </c>
      <c r="AI79" s="134" t="e">
        <f>#REF!+#REF!+#REF!</f>
        <v>#REF!</v>
      </c>
      <c r="AJ79" s="134" t="e">
        <f>#REF!+#REF!+#REF!</f>
        <v>#REF!</v>
      </c>
      <c r="AK79" s="134" t="e">
        <f>#REF!+#REF!+#REF!</f>
        <v>#REF!</v>
      </c>
      <c r="AL79" s="134" t="e">
        <f>#REF!+#REF!+#REF!</f>
        <v>#REF!</v>
      </c>
      <c r="AM79" s="134" t="e">
        <f>#REF!+#REF!+#REF!</f>
        <v>#REF!</v>
      </c>
      <c r="AN79" s="134" t="e">
        <f>#REF!+#REF!+#REF!</f>
        <v>#REF!</v>
      </c>
      <c r="AO79" s="134" t="e">
        <f>#REF!+#REF!+#REF!</f>
        <v>#REF!</v>
      </c>
      <c r="AP79" s="134" t="e">
        <f>#REF!+#REF!+#REF!</f>
        <v>#REF!</v>
      </c>
      <c r="AQ79" s="90"/>
      <c r="AR79" s="112"/>
      <c r="AS79" s="591"/>
      <c r="AT79" s="591"/>
      <c r="AU79" s="93"/>
    </row>
    <row r="80" ht="83.1" customHeight="1" spans="1:52">
      <c r="A80" s="23">
        <f>SUBTOTAL(3,C$10:C80)</f>
        <v>61</v>
      </c>
      <c r="B80" s="55" t="s">
        <v>449</v>
      </c>
      <c r="C80" s="59" t="s">
        <v>79</v>
      </c>
      <c r="D80" s="55" t="s">
        <v>450</v>
      </c>
      <c r="E80" s="35" t="s">
        <v>112</v>
      </c>
      <c r="F80" s="38">
        <v>45537</v>
      </c>
      <c r="G80" s="38"/>
      <c r="H80" s="83" t="s">
        <v>122</v>
      </c>
      <c r="I80" s="83"/>
      <c r="J80" s="83"/>
      <c r="K80" s="578">
        <v>5000</v>
      </c>
      <c r="L80" s="38">
        <v>10000</v>
      </c>
      <c r="M80" s="38"/>
      <c r="N80" s="112" t="s">
        <v>451</v>
      </c>
      <c r="O80" s="111"/>
      <c r="P80" s="67"/>
      <c r="Q80" s="134" t="s">
        <v>115</v>
      </c>
      <c r="R80" s="134" t="s">
        <v>115</v>
      </c>
      <c r="S80" s="134"/>
      <c r="T80" s="134" t="s">
        <v>115</v>
      </c>
      <c r="U80" s="134"/>
      <c r="V80" s="134" t="s">
        <v>115</v>
      </c>
      <c r="W80" s="134"/>
      <c r="X80" s="90" t="s">
        <v>452</v>
      </c>
      <c r="Y80" s="137" t="s">
        <v>453</v>
      </c>
      <c r="Z80" s="115">
        <v>29</v>
      </c>
      <c r="AA80" s="115">
        <v>29</v>
      </c>
      <c r="AB80" s="115"/>
      <c r="AC80" s="115"/>
      <c r="AD80" s="115"/>
      <c r="AE80" s="115"/>
      <c r="AF80" s="115"/>
      <c r="AG80" s="115"/>
      <c r="AH80" s="115"/>
      <c r="AI80" s="115"/>
      <c r="AJ80" s="115"/>
      <c r="AK80" s="115"/>
      <c r="AL80" s="115"/>
      <c r="AM80" s="115"/>
      <c r="AN80" s="115"/>
      <c r="AO80" s="115"/>
      <c r="AP80" s="115">
        <v>10000</v>
      </c>
      <c r="AQ80" s="90"/>
      <c r="AR80" s="112" t="s">
        <v>454</v>
      </c>
      <c r="AS80" s="123" t="s">
        <v>455</v>
      </c>
      <c r="AT80" s="58" t="s">
        <v>456</v>
      </c>
      <c r="AU80" s="93" t="s">
        <v>457</v>
      </c>
      <c r="AW80" s="158" t="s">
        <v>458</v>
      </c>
      <c r="AX80" s="158" t="s">
        <v>459</v>
      </c>
      <c r="AY80" s="158" t="str">
        <f>AX80&amp;AW80</f>
        <v>服务业市发改委</v>
      </c>
      <c r="AZ80" s="158" t="str">
        <f>AX80</f>
        <v>服务业</v>
      </c>
    </row>
    <row r="81" ht="74.25" customHeight="1" spans="1:52">
      <c r="A81" s="23">
        <f>SUBTOTAL(3,C$10:C81)</f>
        <v>62</v>
      </c>
      <c r="B81" s="55" t="s">
        <v>460</v>
      </c>
      <c r="C81" s="35" t="s">
        <v>79</v>
      </c>
      <c r="D81" s="55" t="s">
        <v>461</v>
      </c>
      <c r="E81" s="35" t="s">
        <v>112</v>
      </c>
      <c r="F81" s="67">
        <v>12000</v>
      </c>
      <c r="G81" s="67"/>
      <c r="H81" s="81" t="s">
        <v>131</v>
      </c>
      <c r="I81" s="81"/>
      <c r="J81" s="81"/>
      <c r="K81" s="81"/>
      <c r="L81" s="127">
        <v>12000</v>
      </c>
      <c r="M81" s="127"/>
      <c r="N81" s="595" t="s">
        <v>284</v>
      </c>
      <c r="O81" s="56"/>
      <c r="P81" s="127"/>
      <c r="Q81" s="134" t="s">
        <v>115</v>
      </c>
      <c r="R81" s="134"/>
      <c r="S81" s="115"/>
      <c r="T81" s="115"/>
      <c r="U81" s="134" t="s">
        <v>115</v>
      </c>
      <c r="V81" s="134" t="s">
        <v>115</v>
      </c>
      <c r="W81" s="134"/>
      <c r="X81" s="90" t="s">
        <v>462</v>
      </c>
      <c r="Y81" s="90" t="s">
        <v>463</v>
      </c>
      <c r="Z81" s="132"/>
      <c r="AA81" s="132"/>
      <c r="AB81" s="132"/>
      <c r="AC81" s="132"/>
      <c r="AD81" s="132"/>
      <c r="AE81" s="132"/>
      <c r="AF81" s="132"/>
      <c r="AG81" s="132"/>
      <c r="AH81" s="132"/>
      <c r="AI81" s="132"/>
      <c r="AJ81" s="132"/>
      <c r="AK81" s="132"/>
      <c r="AL81" s="132"/>
      <c r="AM81" s="132"/>
      <c r="AN81" s="132"/>
      <c r="AO81" s="132"/>
      <c r="AP81" s="132">
        <v>12000</v>
      </c>
      <c r="AQ81" s="90"/>
      <c r="AR81" s="90" t="s">
        <v>463</v>
      </c>
      <c r="AS81" s="123" t="s">
        <v>464</v>
      </c>
      <c r="AT81" s="58" t="s">
        <v>464</v>
      </c>
      <c r="AU81" s="90" t="s">
        <v>462</v>
      </c>
      <c r="AW81" s="158" t="s">
        <v>464</v>
      </c>
      <c r="AX81" s="158" t="s">
        <v>459</v>
      </c>
      <c r="AY81" s="158" t="str">
        <f>AX81&amp;AW81</f>
        <v>服务业市公安局</v>
      </c>
      <c r="AZ81" s="158" t="str">
        <f>AX81</f>
        <v>服务业</v>
      </c>
    </row>
    <row r="82" ht="66.75" customHeight="1" spans="1:52">
      <c r="A82" s="23">
        <f>SUBTOTAL(3,C$10:C82)</f>
        <v>63</v>
      </c>
      <c r="B82" s="55" t="s">
        <v>465</v>
      </c>
      <c r="C82" s="35" t="s">
        <v>79</v>
      </c>
      <c r="D82" s="55" t="s">
        <v>466</v>
      </c>
      <c r="E82" s="35" t="s">
        <v>112</v>
      </c>
      <c r="F82" s="36">
        <v>10000</v>
      </c>
      <c r="G82" s="36"/>
      <c r="H82" s="83" t="s">
        <v>122</v>
      </c>
      <c r="I82" s="83"/>
      <c r="J82" s="578">
        <v>100</v>
      </c>
      <c r="K82" s="578">
        <v>500</v>
      </c>
      <c r="L82" s="36">
        <v>1000</v>
      </c>
      <c r="M82" s="36"/>
      <c r="N82" s="112" t="s">
        <v>467</v>
      </c>
      <c r="O82" s="111"/>
      <c r="P82" s="67"/>
      <c r="Q82" s="134" t="s">
        <v>115</v>
      </c>
      <c r="R82" s="115"/>
      <c r="S82" s="115"/>
      <c r="T82" s="115"/>
      <c r="U82" s="115"/>
      <c r="V82" s="115"/>
      <c r="W82" s="115"/>
      <c r="X82" s="90" t="s">
        <v>468</v>
      </c>
      <c r="Y82" s="90" t="s">
        <v>469</v>
      </c>
      <c r="Z82" s="253"/>
      <c r="AA82" s="253"/>
      <c r="AB82" s="253"/>
      <c r="AC82" s="253"/>
      <c r="AD82" s="253"/>
      <c r="AE82" s="253"/>
      <c r="AF82" s="253"/>
      <c r="AG82" s="253"/>
      <c r="AH82" s="253"/>
      <c r="AI82" s="253"/>
      <c r="AJ82" s="253"/>
      <c r="AK82" s="132"/>
      <c r="AL82" s="132"/>
      <c r="AM82" s="132"/>
      <c r="AN82" s="132"/>
      <c r="AO82" s="132"/>
      <c r="AP82" s="132">
        <v>1000</v>
      </c>
      <c r="AQ82" s="90"/>
      <c r="AR82" s="66" t="s">
        <v>133</v>
      </c>
      <c r="AS82" s="34" t="s">
        <v>470</v>
      </c>
      <c r="AT82" s="34" t="s">
        <v>119</v>
      </c>
      <c r="AU82" s="55"/>
      <c r="AW82" s="158" t="s">
        <v>90</v>
      </c>
      <c r="AX82" s="158" t="s">
        <v>459</v>
      </c>
      <c r="AY82" s="158" t="str">
        <f t="shared" ref="AY82:AY91" si="73">AX82&amp;AW82</f>
        <v>服务业钦州港</v>
      </c>
      <c r="AZ82" s="158" t="str">
        <f t="shared" ref="AZ82:AZ91" si="74">AX82</f>
        <v>服务业</v>
      </c>
    </row>
    <row r="83" s="907" customFormat="1" ht="75.75" customHeight="1" spans="1:66">
      <c r="A83" s="23">
        <f>SUBTOTAL(3,C$10:C83)</f>
        <v>64</v>
      </c>
      <c r="B83" s="34" t="s">
        <v>471</v>
      </c>
      <c r="C83" s="35" t="s">
        <v>79</v>
      </c>
      <c r="D83" s="55" t="s">
        <v>472</v>
      </c>
      <c r="E83" s="35" t="s">
        <v>112</v>
      </c>
      <c r="F83" s="38">
        <v>3280</v>
      </c>
      <c r="G83" s="36"/>
      <c r="H83" s="83" t="s">
        <v>144</v>
      </c>
      <c r="I83" s="134"/>
      <c r="J83" s="67">
        <v>200</v>
      </c>
      <c r="K83" s="67">
        <v>500</v>
      </c>
      <c r="L83" s="67">
        <v>1000</v>
      </c>
      <c r="M83" s="36"/>
      <c r="N83" s="58" t="s">
        <v>321</v>
      </c>
      <c r="O83" s="56"/>
      <c r="P83" s="127"/>
      <c r="Q83" s="115"/>
      <c r="R83" s="115"/>
      <c r="S83" s="115"/>
      <c r="T83" s="115"/>
      <c r="U83" s="115"/>
      <c r="V83" s="115"/>
      <c r="W83" s="115"/>
      <c r="X83" s="55"/>
      <c r="Y83" s="90"/>
      <c r="Z83" s="132"/>
      <c r="AA83" s="132"/>
      <c r="AB83" s="132"/>
      <c r="AC83" s="132"/>
      <c r="AD83" s="132"/>
      <c r="AE83" s="132"/>
      <c r="AF83" s="132"/>
      <c r="AG83" s="132"/>
      <c r="AH83" s="132"/>
      <c r="AI83" s="132"/>
      <c r="AJ83" s="132"/>
      <c r="AK83" s="132"/>
      <c r="AL83" s="132"/>
      <c r="AM83" s="132"/>
      <c r="AN83" s="132"/>
      <c r="AO83" s="132">
        <v>1000</v>
      </c>
      <c r="AP83" s="132"/>
      <c r="AQ83" s="90"/>
      <c r="AR83" s="112"/>
      <c r="AS83" s="34" t="s">
        <v>473</v>
      </c>
      <c r="AT83" s="123" t="s">
        <v>166</v>
      </c>
      <c r="AU83" s="171"/>
      <c r="AV83" s="157"/>
      <c r="AW83" s="158" t="s">
        <v>167</v>
      </c>
      <c r="AX83" s="158" t="s">
        <v>459</v>
      </c>
      <c r="AY83" s="158" t="str">
        <f t="shared" si="73"/>
        <v>服务业保税港</v>
      </c>
      <c r="AZ83" s="158" t="str">
        <f t="shared" si="74"/>
        <v>服务业</v>
      </c>
      <c r="BA83" s="167"/>
      <c r="BB83" s="160"/>
      <c r="BC83" s="157"/>
      <c r="BD83" s="157"/>
      <c r="BE83" s="157"/>
      <c r="BF83" s="157"/>
      <c r="BG83" s="157"/>
      <c r="BH83" s="157"/>
      <c r="BI83" s="157"/>
      <c r="BJ83" s="157"/>
      <c r="BK83" s="157"/>
      <c r="BL83" s="201"/>
      <c r="BM83" s="201"/>
      <c r="BN83" s="201"/>
    </row>
    <row r="84" s="9" customFormat="1" ht="83.25" customHeight="1" spans="1:66">
      <c r="A84" s="23">
        <f>SUBTOTAL(3,C$10:C84)</f>
        <v>65</v>
      </c>
      <c r="B84" s="55" t="s">
        <v>474</v>
      </c>
      <c r="C84" s="35" t="s">
        <v>79</v>
      </c>
      <c r="D84" s="55" t="s">
        <v>475</v>
      </c>
      <c r="E84" s="35" t="s">
        <v>81</v>
      </c>
      <c r="F84" s="36">
        <v>200000</v>
      </c>
      <c r="G84" s="36"/>
      <c r="H84" s="83" t="s">
        <v>122</v>
      </c>
      <c r="I84" s="83"/>
      <c r="J84" s="578">
        <v>2000</v>
      </c>
      <c r="K84" s="578">
        <v>6000</v>
      </c>
      <c r="L84" s="36">
        <v>10000</v>
      </c>
      <c r="M84" s="36"/>
      <c r="N84" s="112" t="s">
        <v>189</v>
      </c>
      <c r="O84" s="36"/>
      <c r="P84" s="858"/>
      <c r="Q84" s="730" t="s">
        <v>115</v>
      </c>
      <c r="R84" s="730" t="s">
        <v>115</v>
      </c>
      <c r="S84" s="115"/>
      <c r="T84" s="115"/>
      <c r="U84" s="115"/>
      <c r="V84" s="115"/>
      <c r="W84" s="115"/>
      <c r="X84" s="90" t="s">
        <v>476</v>
      </c>
      <c r="Y84" s="90" t="s">
        <v>117</v>
      </c>
      <c r="Z84" s="132">
        <v>1000</v>
      </c>
      <c r="AA84" s="132">
        <v>200</v>
      </c>
      <c r="AB84" s="132">
        <v>800</v>
      </c>
      <c r="AC84" s="132"/>
      <c r="AD84" s="132"/>
      <c r="AE84" s="132"/>
      <c r="AF84" s="132"/>
      <c r="AG84" s="132"/>
      <c r="AH84" s="132"/>
      <c r="AI84" s="132"/>
      <c r="AJ84" s="132"/>
      <c r="AK84" s="132"/>
      <c r="AL84" s="132"/>
      <c r="AM84" s="132"/>
      <c r="AN84" s="132"/>
      <c r="AO84" s="132">
        <v>10000</v>
      </c>
      <c r="AP84" s="132"/>
      <c r="AQ84" s="90"/>
      <c r="AR84" s="112" t="s">
        <v>117</v>
      </c>
      <c r="AS84" s="34" t="s">
        <v>477</v>
      </c>
      <c r="AT84" s="34" t="s">
        <v>185</v>
      </c>
      <c r="AU84" s="55"/>
      <c r="AV84" s="165"/>
      <c r="AW84" s="158" t="s">
        <v>186</v>
      </c>
      <c r="AX84" s="158" t="s">
        <v>459</v>
      </c>
      <c r="AY84" s="158" t="str">
        <f t="shared" si="73"/>
        <v>服务业中马园</v>
      </c>
      <c r="AZ84" s="158" t="str">
        <f t="shared" si="74"/>
        <v>服务业</v>
      </c>
      <c r="BA84" s="169"/>
      <c r="BB84" s="165"/>
      <c r="BC84" s="165"/>
      <c r="BD84" s="165"/>
      <c r="BE84" s="169"/>
      <c r="BF84" s="169"/>
      <c r="BG84" s="169"/>
      <c r="BI84" s="165"/>
      <c r="BJ84" s="157"/>
      <c r="BK84" s="157"/>
      <c r="BN84" s="7"/>
    </row>
    <row r="85" ht="75" customHeight="1" spans="1:52">
      <c r="A85" s="23">
        <f>SUBTOTAL(3,C$10:C85)</f>
        <v>66</v>
      </c>
      <c r="B85" s="55" t="s">
        <v>478</v>
      </c>
      <c r="C85" s="35" t="s">
        <v>79</v>
      </c>
      <c r="D85" s="55" t="s">
        <v>479</v>
      </c>
      <c r="E85" s="35" t="s">
        <v>81</v>
      </c>
      <c r="F85" s="36">
        <v>15000</v>
      </c>
      <c r="G85" s="36"/>
      <c r="H85" s="81" t="s">
        <v>177</v>
      </c>
      <c r="I85" s="81"/>
      <c r="J85" s="37">
        <v>200</v>
      </c>
      <c r="K85" s="37">
        <v>400</v>
      </c>
      <c r="L85" s="36">
        <v>1000</v>
      </c>
      <c r="M85" s="36"/>
      <c r="N85" s="112" t="s">
        <v>480</v>
      </c>
      <c r="O85" s="56"/>
      <c r="P85" s="67"/>
      <c r="Q85" s="730" t="s">
        <v>115</v>
      </c>
      <c r="R85" s="730" t="s">
        <v>115</v>
      </c>
      <c r="S85" s="730" t="s">
        <v>115</v>
      </c>
      <c r="T85" s="730" t="s">
        <v>115</v>
      </c>
      <c r="U85" s="730" t="s">
        <v>115</v>
      </c>
      <c r="V85" s="115"/>
      <c r="W85" s="115"/>
      <c r="X85" s="90" t="s">
        <v>481</v>
      </c>
      <c r="Y85" s="90" t="s">
        <v>117</v>
      </c>
      <c r="Z85" s="132">
        <v>57</v>
      </c>
      <c r="AA85" s="132">
        <v>57</v>
      </c>
      <c r="AB85" s="132"/>
      <c r="AC85" s="132"/>
      <c r="AD85" s="132"/>
      <c r="AE85" s="132"/>
      <c r="AF85" s="132"/>
      <c r="AG85" s="132"/>
      <c r="AH85" s="132"/>
      <c r="AI85" s="132"/>
      <c r="AJ85" s="132"/>
      <c r="AK85" s="132"/>
      <c r="AL85" s="132"/>
      <c r="AM85" s="132"/>
      <c r="AN85" s="132"/>
      <c r="AO85" s="132">
        <v>1000</v>
      </c>
      <c r="AP85" s="132"/>
      <c r="AQ85" s="90"/>
      <c r="AR85" s="112" t="s">
        <v>117</v>
      </c>
      <c r="AS85" s="34" t="s">
        <v>482</v>
      </c>
      <c r="AT85" s="34" t="s">
        <v>185</v>
      </c>
      <c r="AU85" s="93"/>
      <c r="AW85" s="158" t="s">
        <v>186</v>
      </c>
      <c r="AX85" s="158" t="s">
        <v>459</v>
      </c>
      <c r="AY85" s="158" t="str">
        <f t="shared" si="73"/>
        <v>服务业中马园</v>
      </c>
      <c r="AZ85" s="158" t="str">
        <f t="shared" si="74"/>
        <v>服务业</v>
      </c>
    </row>
    <row r="86" ht="84.95" customHeight="1" spans="1:52">
      <c r="A86" s="23">
        <f>SUBTOTAL(3,C$10:C86)</f>
        <v>67</v>
      </c>
      <c r="B86" s="55" t="s">
        <v>483</v>
      </c>
      <c r="C86" s="35" t="s">
        <v>79</v>
      </c>
      <c r="D86" s="55" t="s">
        <v>484</v>
      </c>
      <c r="E86" s="35" t="s">
        <v>81</v>
      </c>
      <c r="F86" s="38">
        <v>88000</v>
      </c>
      <c r="G86" s="38"/>
      <c r="H86" s="81" t="s">
        <v>353</v>
      </c>
      <c r="I86" s="37">
        <v>500</v>
      </c>
      <c r="J86" s="37">
        <v>2000</v>
      </c>
      <c r="K86" s="37">
        <v>5000</v>
      </c>
      <c r="L86" s="38">
        <v>10000</v>
      </c>
      <c r="M86" s="38"/>
      <c r="N86" s="34" t="s">
        <v>485</v>
      </c>
      <c r="O86" s="111"/>
      <c r="P86" s="67"/>
      <c r="Q86" s="134" t="s">
        <v>115</v>
      </c>
      <c r="R86" s="134" t="s">
        <v>115</v>
      </c>
      <c r="S86" s="115"/>
      <c r="T86" s="115"/>
      <c r="U86" s="115"/>
      <c r="V86" s="115"/>
      <c r="W86" s="115"/>
      <c r="X86" s="90" t="s">
        <v>486</v>
      </c>
      <c r="Y86" s="90" t="s">
        <v>487</v>
      </c>
      <c r="Z86" s="132">
        <v>120</v>
      </c>
      <c r="AA86" s="132">
        <v>40</v>
      </c>
      <c r="AB86" s="132">
        <v>80</v>
      </c>
      <c r="AC86" s="132">
        <v>25</v>
      </c>
      <c r="AD86" s="132"/>
      <c r="AE86" s="132">
        <v>25</v>
      </c>
      <c r="AF86" s="132"/>
      <c r="AG86" s="132"/>
      <c r="AH86" s="132"/>
      <c r="AI86" s="132">
        <v>80</v>
      </c>
      <c r="AJ86" s="132"/>
      <c r="AK86" s="132">
        <v>80</v>
      </c>
      <c r="AL86" s="132"/>
      <c r="AM86" s="132"/>
      <c r="AN86" s="132"/>
      <c r="AO86" s="132"/>
      <c r="AP86" s="132"/>
      <c r="AQ86" s="90"/>
      <c r="AR86" s="112" t="s">
        <v>488</v>
      </c>
      <c r="AS86" s="34" t="s">
        <v>489</v>
      </c>
      <c r="AT86" s="34" t="s">
        <v>490</v>
      </c>
      <c r="AU86" s="93"/>
      <c r="AW86" s="158" t="s">
        <v>491</v>
      </c>
      <c r="AX86" s="158" t="s">
        <v>459</v>
      </c>
      <c r="AY86" s="158" t="str">
        <f t="shared" si="73"/>
        <v>服务业三娘湾</v>
      </c>
      <c r="AZ86" s="158" t="str">
        <f t="shared" si="74"/>
        <v>服务业</v>
      </c>
    </row>
    <row r="87" ht="69" customHeight="1" spans="1:52">
      <c r="A87" s="23">
        <f>SUBTOTAL(3,C$10:C87)</f>
        <v>68</v>
      </c>
      <c r="B87" s="55" t="s">
        <v>492</v>
      </c>
      <c r="C87" s="35" t="s">
        <v>79</v>
      </c>
      <c r="D87" s="55" t="s">
        <v>493</v>
      </c>
      <c r="E87" s="35" t="s">
        <v>112</v>
      </c>
      <c r="F87" s="35">
        <v>10400</v>
      </c>
      <c r="G87" s="35"/>
      <c r="H87" s="81" t="s">
        <v>131</v>
      </c>
      <c r="I87" s="81"/>
      <c r="J87" s="37">
        <v>200</v>
      </c>
      <c r="K87" s="37">
        <v>600</v>
      </c>
      <c r="L87" s="38">
        <v>1000</v>
      </c>
      <c r="M87" s="38"/>
      <c r="N87" s="34" t="s">
        <v>494</v>
      </c>
      <c r="O87" s="111"/>
      <c r="P87" s="67"/>
      <c r="Q87" s="115"/>
      <c r="R87" s="115"/>
      <c r="S87" s="115"/>
      <c r="T87" s="115"/>
      <c r="U87" s="115"/>
      <c r="V87" s="115"/>
      <c r="W87" s="115"/>
      <c r="X87" s="90" t="s">
        <v>132</v>
      </c>
      <c r="Y87" s="90" t="s">
        <v>495</v>
      </c>
      <c r="Z87" s="132"/>
      <c r="AA87" s="132"/>
      <c r="AB87" s="132"/>
      <c r="AC87" s="132"/>
      <c r="AD87" s="132"/>
      <c r="AE87" s="132"/>
      <c r="AF87" s="132"/>
      <c r="AG87" s="132"/>
      <c r="AH87" s="132"/>
      <c r="AI87" s="132"/>
      <c r="AJ87" s="132"/>
      <c r="AK87" s="132"/>
      <c r="AL87" s="132"/>
      <c r="AM87" s="132"/>
      <c r="AN87" s="132"/>
      <c r="AO87" s="132"/>
      <c r="AP87" s="132"/>
      <c r="AQ87" s="90"/>
      <c r="AR87" s="112" t="s">
        <v>496</v>
      </c>
      <c r="AS87" s="34" t="s">
        <v>497</v>
      </c>
      <c r="AT87" s="34" t="s">
        <v>498</v>
      </c>
      <c r="AU87" s="93"/>
      <c r="AW87" s="158" t="s">
        <v>499</v>
      </c>
      <c r="AX87" s="158" t="s">
        <v>459</v>
      </c>
      <c r="AY87" s="158" t="str">
        <f t="shared" si="73"/>
        <v>服务业滨海新城</v>
      </c>
      <c r="AZ87" s="158" t="str">
        <f t="shared" si="74"/>
        <v>服务业</v>
      </c>
    </row>
    <row r="88" ht="102.95" customHeight="1" spans="1:52">
      <c r="A88" s="23">
        <f>SUBTOTAL(3,C$10:C88)</f>
        <v>69</v>
      </c>
      <c r="B88" s="55" t="s">
        <v>500</v>
      </c>
      <c r="C88" s="35" t="s">
        <v>79</v>
      </c>
      <c r="D88" s="55" t="s">
        <v>501</v>
      </c>
      <c r="E88" s="35" t="s">
        <v>143</v>
      </c>
      <c r="F88" s="35">
        <v>300000</v>
      </c>
      <c r="G88" s="35"/>
      <c r="H88" s="81" t="s">
        <v>209</v>
      </c>
      <c r="I88" s="81"/>
      <c r="J88" s="81"/>
      <c r="K88" s="37">
        <v>5000</v>
      </c>
      <c r="L88" s="38">
        <v>10000</v>
      </c>
      <c r="M88" s="38"/>
      <c r="N88" s="34" t="s">
        <v>502</v>
      </c>
      <c r="O88" s="111"/>
      <c r="P88" s="67"/>
      <c r="Q88" s="730" t="s">
        <v>115</v>
      </c>
      <c r="R88" s="115"/>
      <c r="S88" s="115"/>
      <c r="T88" s="115"/>
      <c r="U88" s="115"/>
      <c r="V88" s="115"/>
      <c r="W88" s="115"/>
      <c r="X88" s="90" t="s">
        <v>265</v>
      </c>
      <c r="Y88" s="90" t="s">
        <v>117</v>
      </c>
      <c r="Z88" s="132">
        <v>200</v>
      </c>
      <c r="AA88" s="132"/>
      <c r="AB88" s="132">
        <v>200</v>
      </c>
      <c r="AC88" s="132"/>
      <c r="AD88" s="132"/>
      <c r="AE88" s="132"/>
      <c r="AF88" s="132"/>
      <c r="AG88" s="132"/>
      <c r="AH88" s="132"/>
      <c r="AI88" s="132">
        <v>200</v>
      </c>
      <c r="AJ88" s="132"/>
      <c r="AK88" s="132">
        <v>200</v>
      </c>
      <c r="AL88" s="895"/>
      <c r="AM88" s="895"/>
      <c r="AN88" s="895"/>
      <c r="AO88" s="132"/>
      <c r="AP88" s="132"/>
      <c r="AQ88" s="90"/>
      <c r="AR88" s="112" t="s">
        <v>117</v>
      </c>
      <c r="AS88" s="34" t="s">
        <v>503</v>
      </c>
      <c r="AT88" s="131" t="s">
        <v>504</v>
      </c>
      <c r="AU88" s="93"/>
      <c r="AW88" s="158" t="s">
        <v>505</v>
      </c>
      <c r="AX88" s="158" t="s">
        <v>459</v>
      </c>
      <c r="AY88" s="158" t="str">
        <f t="shared" si="73"/>
        <v>服务业华侨投资区</v>
      </c>
      <c r="AZ88" s="158" t="str">
        <f t="shared" si="74"/>
        <v>服务业</v>
      </c>
    </row>
    <row r="89" ht="75" customHeight="1" spans="1:52">
      <c r="A89" s="23">
        <f>SUBTOTAL(3,C$10:C89)</f>
        <v>70</v>
      </c>
      <c r="B89" s="55" t="s">
        <v>506</v>
      </c>
      <c r="C89" s="35" t="s">
        <v>79</v>
      </c>
      <c r="D89" s="55" t="s">
        <v>507</v>
      </c>
      <c r="E89" s="35" t="s">
        <v>81</v>
      </c>
      <c r="F89" s="36">
        <v>150000</v>
      </c>
      <c r="G89" s="134"/>
      <c r="H89" s="81" t="s">
        <v>283</v>
      </c>
      <c r="I89" s="81"/>
      <c r="J89" s="81"/>
      <c r="K89" s="81"/>
      <c r="L89" s="36">
        <v>3000</v>
      </c>
      <c r="M89" s="923"/>
      <c r="N89" s="112" t="s">
        <v>508</v>
      </c>
      <c r="O89" s="924"/>
      <c r="P89" s="134"/>
      <c r="Q89" s="134"/>
      <c r="R89" s="134"/>
      <c r="S89" s="134"/>
      <c r="T89" s="134"/>
      <c r="U89" s="134"/>
      <c r="V89" s="134"/>
      <c r="W89" s="134"/>
      <c r="X89" s="90"/>
      <c r="Y89" s="90"/>
      <c r="Z89" s="132">
        <v>800</v>
      </c>
      <c r="AA89" s="132"/>
      <c r="AB89" s="132">
        <v>800</v>
      </c>
      <c r="AC89" s="132">
        <v>300.6</v>
      </c>
      <c r="AD89" s="132">
        <v>300.6</v>
      </c>
      <c r="AE89" s="132"/>
      <c r="AF89" s="132"/>
      <c r="AG89" s="132"/>
      <c r="AH89" s="132"/>
      <c r="AI89" s="132">
        <v>750</v>
      </c>
      <c r="AJ89" s="132">
        <v>108</v>
      </c>
      <c r="AK89" s="132">
        <v>642</v>
      </c>
      <c r="AL89" s="595"/>
      <c r="AM89" s="595"/>
      <c r="AN89" s="595"/>
      <c r="AO89" s="595"/>
      <c r="AP89" s="595"/>
      <c r="AQ89" s="90"/>
      <c r="AR89" s="926" t="s">
        <v>509</v>
      </c>
      <c r="AS89" s="34" t="s">
        <v>510</v>
      </c>
      <c r="AT89" s="34" t="s">
        <v>269</v>
      </c>
      <c r="AU89" s="927"/>
      <c r="AW89" s="158" t="s">
        <v>270</v>
      </c>
      <c r="AX89" s="158" t="s">
        <v>459</v>
      </c>
      <c r="AY89" s="158" t="str">
        <f t="shared" si="73"/>
        <v>服务业灵山县</v>
      </c>
      <c r="AZ89" s="158" t="str">
        <f t="shared" si="74"/>
        <v>服务业</v>
      </c>
    </row>
    <row r="90" ht="86.25" customHeight="1" spans="1:52">
      <c r="A90" s="23">
        <f>SUBTOTAL(3,C$10:C90)</f>
        <v>71</v>
      </c>
      <c r="B90" s="55" t="s">
        <v>511</v>
      </c>
      <c r="C90" s="35" t="s">
        <v>79</v>
      </c>
      <c r="D90" s="55" t="s">
        <v>512</v>
      </c>
      <c r="E90" s="35" t="s">
        <v>112</v>
      </c>
      <c r="F90" s="36">
        <v>50000</v>
      </c>
      <c r="G90" s="36"/>
      <c r="H90" s="81" t="s">
        <v>244</v>
      </c>
      <c r="I90" s="37">
        <v>2000</v>
      </c>
      <c r="J90" s="37">
        <v>4000</v>
      </c>
      <c r="K90" s="37">
        <v>9000</v>
      </c>
      <c r="L90" s="36">
        <v>10000</v>
      </c>
      <c r="M90" s="36"/>
      <c r="N90" s="112" t="s">
        <v>513</v>
      </c>
      <c r="O90" s="56"/>
      <c r="P90" s="127"/>
      <c r="Q90" s="115" t="s">
        <v>115</v>
      </c>
      <c r="R90" s="115" t="s">
        <v>115</v>
      </c>
      <c r="S90" s="115" t="s">
        <v>115</v>
      </c>
      <c r="T90" s="115" t="s">
        <v>115</v>
      </c>
      <c r="U90" s="115" t="s">
        <v>115</v>
      </c>
      <c r="V90" s="115" t="s">
        <v>115</v>
      </c>
      <c r="W90" s="115"/>
      <c r="X90" s="90" t="s">
        <v>514</v>
      </c>
      <c r="Y90" s="90" t="s">
        <v>117</v>
      </c>
      <c r="Z90" s="132"/>
      <c r="AA90" s="132"/>
      <c r="AB90" s="132"/>
      <c r="AC90" s="132"/>
      <c r="AD90" s="132"/>
      <c r="AE90" s="132"/>
      <c r="AF90" s="132"/>
      <c r="AG90" s="132"/>
      <c r="AH90" s="132"/>
      <c r="AI90" s="132">
        <v>300</v>
      </c>
      <c r="AJ90" s="132">
        <v>300</v>
      </c>
      <c r="AK90" s="132"/>
      <c r="AL90" s="132"/>
      <c r="AM90" s="132"/>
      <c r="AN90" s="132"/>
      <c r="AO90" s="132"/>
      <c r="AP90" s="132"/>
      <c r="AQ90" s="90"/>
      <c r="AR90" s="112" t="s">
        <v>117</v>
      </c>
      <c r="AS90" s="34" t="s">
        <v>515</v>
      </c>
      <c r="AT90" s="34" t="s">
        <v>269</v>
      </c>
      <c r="AU90" s="171"/>
      <c r="AW90" s="158" t="s">
        <v>270</v>
      </c>
      <c r="AX90" s="158" t="s">
        <v>459</v>
      </c>
      <c r="AY90" s="158" t="str">
        <f t="shared" si="73"/>
        <v>服务业灵山县</v>
      </c>
      <c r="AZ90" s="158" t="str">
        <f t="shared" si="74"/>
        <v>服务业</v>
      </c>
    </row>
    <row r="91" ht="90" customHeight="1" spans="1:52">
      <c r="A91" s="23">
        <f>SUBTOTAL(3,C$10:C91)</f>
        <v>72</v>
      </c>
      <c r="B91" s="55" t="s">
        <v>516</v>
      </c>
      <c r="C91" s="35" t="s">
        <v>79</v>
      </c>
      <c r="D91" s="55" t="s">
        <v>517</v>
      </c>
      <c r="E91" s="35" t="s">
        <v>112</v>
      </c>
      <c r="F91" s="35">
        <v>20000</v>
      </c>
      <c r="G91" s="35"/>
      <c r="H91" s="81" t="s">
        <v>283</v>
      </c>
      <c r="I91" s="81"/>
      <c r="J91" s="81"/>
      <c r="K91" s="81"/>
      <c r="L91" s="36">
        <v>3000</v>
      </c>
      <c r="M91" s="36"/>
      <c r="N91" s="112" t="s">
        <v>518</v>
      </c>
      <c r="O91" s="56"/>
      <c r="P91" s="36"/>
      <c r="Q91" s="115" t="s">
        <v>115</v>
      </c>
      <c r="R91" s="115" t="s">
        <v>115</v>
      </c>
      <c r="S91" s="115"/>
      <c r="T91" s="115" t="s">
        <v>115</v>
      </c>
      <c r="U91" s="115" t="s">
        <v>115</v>
      </c>
      <c r="V91" s="115" t="s">
        <v>115</v>
      </c>
      <c r="W91" s="115"/>
      <c r="X91" s="55" t="s">
        <v>519</v>
      </c>
      <c r="Y91" s="55" t="s">
        <v>520</v>
      </c>
      <c r="Z91" s="132"/>
      <c r="AA91" s="132"/>
      <c r="AB91" s="132"/>
      <c r="AC91" s="132"/>
      <c r="AD91" s="132"/>
      <c r="AE91" s="132"/>
      <c r="AF91" s="132"/>
      <c r="AG91" s="132"/>
      <c r="AH91" s="132"/>
      <c r="AI91" s="132">
        <v>150</v>
      </c>
      <c r="AJ91" s="132"/>
      <c r="AK91" s="132">
        <v>150</v>
      </c>
      <c r="AL91" s="132"/>
      <c r="AM91" s="132"/>
      <c r="AN91" s="132"/>
      <c r="AO91" s="132"/>
      <c r="AP91" s="132"/>
      <c r="AQ91" s="90"/>
      <c r="AR91" s="112" t="s">
        <v>117</v>
      </c>
      <c r="AS91" s="34" t="s">
        <v>285</v>
      </c>
      <c r="AT91" s="34" t="s">
        <v>269</v>
      </c>
      <c r="AU91" s="171"/>
      <c r="AW91" s="158" t="s">
        <v>270</v>
      </c>
      <c r="AX91" s="158" t="s">
        <v>459</v>
      </c>
      <c r="AY91" s="158" t="str">
        <f t="shared" si="73"/>
        <v>服务业灵山县</v>
      </c>
      <c r="AZ91" s="158" t="str">
        <f t="shared" si="74"/>
        <v>服务业</v>
      </c>
    </row>
    <row r="92" ht="78" customHeight="1" spans="1:52">
      <c r="A92" s="23">
        <f>SUBTOTAL(3,C$10:C92)</f>
        <v>73</v>
      </c>
      <c r="B92" s="55" t="s">
        <v>521</v>
      </c>
      <c r="C92" s="35" t="s">
        <v>79</v>
      </c>
      <c r="D92" s="55" t="s">
        <v>522</v>
      </c>
      <c r="E92" s="35" t="s">
        <v>143</v>
      </c>
      <c r="F92" s="36">
        <v>200358</v>
      </c>
      <c r="G92" s="36"/>
      <c r="H92" s="83" t="s">
        <v>209</v>
      </c>
      <c r="I92" s="578"/>
      <c r="J92" s="578"/>
      <c r="K92" s="578">
        <v>4000</v>
      </c>
      <c r="L92" s="36">
        <v>8000</v>
      </c>
      <c r="M92" s="36"/>
      <c r="N92" s="58" t="s">
        <v>284</v>
      </c>
      <c r="O92" s="67"/>
      <c r="P92" s="858"/>
      <c r="Q92" s="115" t="s">
        <v>115</v>
      </c>
      <c r="R92" s="115"/>
      <c r="S92" s="115"/>
      <c r="T92" s="115"/>
      <c r="U92" s="115" t="s">
        <v>115</v>
      </c>
      <c r="V92" s="115"/>
      <c r="W92" s="115"/>
      <c r="X92" s="90" t="s">
        <v>523</v>
      </c>
      <c r="Y92" s="90" t="s">
        <v>117</v>
      </c>
      <c r="Z92" s="132"/>
      <c r="AA92" s="132"/>
      <c r="AB92" s="132"/>
      <c r="AC92" s="132"/>
      <c r="AD92" s="132"/>
      <c r="AE92" s="132"/>
      <c r="AF92" s="132"/>
      <c r="AG92" s="132"/>
      <c r="AH92" s="132"/>
      <c r="AI92" s="132"/>
      <c r="AJ92" s="132"/>
      <c r="AK92" s="132"/>
      <c r="AL92" s="132"/>
      <c r="AM92" s="132"/>
      <c r="AN92" s="132"/>
      <c r="AO92" s="132"/>
      <c r="AP92" s="132">
        <v>5000</v>
      </c>
      <c r="AQ92" s="90"/>
      <c r="AR92" s="112" t="s">
        <v>117</v>
      </c>
      <c r="AS92" s="34" t="s">
        <v>524</v>
      </c>
      <c r="AT92" s="34" t="s">
        <v>269</v>
      </c>
      <c r="AU92" s="93"/>
      <c r="AW92" s="158" t="s">
        <v>270</v>
      </c>
      <c r="AX92" s="158" t="s">
        <v>459</v>
      </c>
      <c r="AY92" s="158" t="str">
        <f t="shared" ref="AY92:AY99" si="75">AX92&amp;AW92</f>
        <v>服务业灵山县</v>
      </c>
      <c r="AZ92" s="158" t="str">
        <f t="shared" ref="AZ92:AZ99" si="76">AX92</f>
        <v>服务业</v>
      </c>
    </row>
    <row r="93" ht="80.1" customHeight="1" spans="1:52">
      <c r="A93" s="23">
        <f>SUBTOTAL(3,C$10:C93)</f>
        <v>74</v>
      </c>
      <c r="B93" s="55" t="s">
        <v>525</v>
      </c>
      <c r="C93" s="35" t="s">
        <v>79</v>
      </c>
      <c r="D93" s="55" t="s">
        <v>526</v>
      </c>
      <c r="E93" s="35" t="s">
        <v>112</v>
      </c>
      <c r="F93" s="35">
        <v>15000</v>
      </c>
      <c r="G93" s="35"/>
      <c r="H93" s="67" t="s">
        <v>209</v>
      </c>
      <c r="I93" s="37"/>
      <c r="J93" s="37"/>
      <c r="K93" s="806">
        <v>4000</v>
      </c>
      <c r="L93" s="257">
        <v>6000</v>
      </c>
      <c r="M93" s="257"/>
      <c r="N93" s="58" t="s">
        <v>527</v>
      </c>
      <c r="O93" s="67"/>
      <c r="P93" s="858"/>
      <c r="Q93" s="115" t="s">
        <v>115</v>
      </c>
      <c r="R93" s="115"/>
      <c r="S93" s="115"/>
      <c r="T93" s="115"/>
      <c r="U93" s="115" t="s">
        <v>115</v>
      </c>
      <c r="V93" s="115"/>
      <c r="W93" s="115"/>
      <c r="X93" s="90"/>
      <c r="Y93" s="90"/>
      <c r="Z93" s="132"/>
      <c r="AA93" s="132"/>
      <c r="AB93" s="132"/>
      <c r="AC93" s="132"/>
      <c r="AD93" s="132"/>
      <c r="AE93" s="132"/>
      <c r="AF93" s="132"/>
      <c r="AG93" s="132"/>
      <c r="AH93" s="132"/>
      <c r="AI93" s="132"/>
      <c r="AJ93" s="132"/>
      <c r="AK93" s="132"/>
      <c r="AL93" s="132"/>
      <c r="AM93" s="132"/>
      <c r="AN93" s="132"/>
      <c r="AO93" s="132"/>
      <c r="AP93" s="132">
        <v>5000</v>
      </c>
      <c r="AQ93" s="90"/>
      <c r="AR93" s="112" t="s">
        <v>117</v>
      </c>
      <c r="AS93" s="66" t="s">
        <v>528</v>
      </c>
      <c r="AT93" s="34" t="s">
        <v>269</v>
      </c>
      <c r="AU93" s="93"/>
      <c r="AW93" s="158" t="s">
        <v>270</v>
      </c>
      <c r="AX93" s="158" t="s">
        <v>459</v>
      </c>
      <c r="AY93" s="158" t="str">
        <f t="shared" si="75"/>
        <v>服务业灵山县</v>
      </c>
      <c r="AZ93" s="158" t="str">
        <f t="shared" si="76"/>
        <v>服务业</v>
      </c>
    </row>
    <row r="94" ht="63.95" customHeight="1" spans="1:52">
      <c r="A94" s="23">
        <f>SUBTOTAL(3,C$10:C94)</f>
        <v>75</v>
      </c>
      <c r="B94" s="55" t="s">
        <v>529</v>
      </c>
      <c r="C94" s="35" t="s">
        <v>79</v>
      </c>
      <c r="D94" s="830" t="s">
        <v>530</v>
      </c>
      <c r="E94" s="35" t="s">
        <v>112</v>
      </c>
      <c r="F94" s="35">
        <v>13000</v>
      </c>
      <c r="G94" s="35"/>
      <c r="H94" s="83" t="s">
        <v>263</v>
      </c>
      <c r="I94" s="83"/>
      <c r="J94" s="83"/>
      <c r="K94" s="578">
        <v>500</v>
      </c>
      <c r="L94" s="35">
        <v>3000</v>
      </c>
      <c r="M94" s="35"/>
      <c r="N94" s="34" t="s">
        <v>531</v>
      </c>
      <c r="O94" s="111"/>
      <c r="P94" s="67"/>
      <c r="Q94" s="115"/>
      <c r="R94" s="115"/>
      <c r="S94" s="115"/>
      <c r="T94" s="115"/>
      <c r="U94" s="115"/>
      <c r="V94" s="115"/>
      <c r="W94" s="115"/>
      <c r="X94" s="55" t="s">
        <v>532</v>
      </c>
      <c r="Y94" s="90" t="s">
        <v>533</v>
      </c>
      <c r="Z94" s="132"/>
      <c r="AA94" s="132"/>
      <c r="AB94" s="132"/>
      <c r="AC94" s="132"/>
      <c r="AD94" s="132"/>
      <c r="AE94" s="132"/>
      <c r="AF94" s="132"/>
      <c r="AG94" s="132"/>
      <c r="AH94" s="132"/>
      <c r="AI94" s="132"/>
      <c r="AJ94" s="132"/>
      <c r="AK94" s="132"/>
      <c r="AL94" s="132"/>
      <c r="AM94" s="132"/>
      <c r="AN94" s="132"/>
      <c r="AO94" s="132"/>
      <c r="AP94" s="132"/>
      <c r="AQ94" s="90"/>
      <c r="AR94" s="112" t="s">
        <v>117</v>
      </c>
      <c r="AS94" s="882" t="s">
        <v>534</v>
      </c>
      <c r="AT94" s="34" t="s">
        <v>317</v>
      </c>
      <c r="AU94" s="93"/>
      <c r="AW94" s="158" t="s">
        <v>270</v>
      </c>
      <c r="AX94" s="158" t="s">
        <v>459</v>
      </c>
      <c r="AY94" s="158" t="str">
        <f t="shared" si="75"/>
        <v>服务业灵山县</v>
      </c>
      <c r="AZ94" s="158" t="str">
        <f t="shared" si="76"/>
        <v>服务业</v>
      </c>
    </row>
    <row r="95" ht="69" customHeight="1" spans="1:52">
      <c r="A95" s="23">
        <f>SUBTOTAL(3,C$10:C95)</f>
        <v>76</v>
      </c>
      <c r="B95" s="60" t="s">
        <v>535</v>
      </c>
      <c r="C95" s="23" t="s">
        <v>79</v>
      </c>
      <c r="D95" s="88" t="s">
        <v>536</v>
      </c>
      <c r="E95" s="23" t="s">
        <v>81</v>
      </c>
      <c r="F95" s="67">
        <v>100000</v>
      </c>
      <c r="G95" s="67"/>
      <c r="H95" s="67" t="s">
        <v>177</v>
      </c>
      <c r="I95" s="67"/>
      <c r="J95" s="67">
        <v>1000</v>
      </c>
      <c r="K95" s="67">
        <v>5000</v>
      </c>
      <c r="L95" s="67">
        <v>8000</v>
      </c>
      <c r="M95" s="67"/>
      <c r="N95" s="123" t="s">
        <v>537</v>
      </c>
      <c r="O95" s="111"/>
      <c r="P95" s="858"/>
      <c r="Q95" s="730" t="s">
        <v>115</v>
      </c>
      <c r="R95" s="730" t="s">
        <v>115</v>
      </c>
      <c r="S95" s="730" t="s">
        <v>115</v>
      </c>
      <c r="T95" s="832"/>
      <c r="U95" s="115"/>
      <c r="V95" s="115"/>
      <c r="W95" s="115"/>
      <c r="X95" s="90" t="s">
        <v>538</v>
      </c>
      <c r="Y95" s="90" t="s">
        <v>117</v>
      </c>
      <c r="Z95" s="132"/>
      <c r="AA95" s="132"/>
      <c r="AB95" s="132"/>
      <c r="AC95" s="132"/>
      <c r="AD95" s="132"/>
      <c r="AE95" s="132"/>
      <c r="AF95" s="132"/>
      <c r="AG95" s="132"/>
      <c r="AH95" s="132"/>
      <c r="AI95" s="132"/>
      <c r="AJ95" s="132"/>
      <c r="AK95" s="132"/>
      <c r="AL95" s="132"/>
      <c r="AM95" s="132"/>
      <c r="AN95" s="132"/>
      <c r="AO95" s="132"/>
      <c r="AP95" s="132"/>
      <c r="AQ95" s="90"/>
      <c r="AR95" s="112" t="s">
        <v>539</v>
      </c>
      <c r="AS95" s="123" t="s">
        <v>540</v>
      </c>
      <c r="AT95" s="34" t="s">
        <v>359</v>
      </c>
      <c r="AU95" s="93"/>
      <c r="AW95" s="158" t="s">
        <v>505</v>
      </c>
      <c r="AX95" s="158" t="s">
        <v>459</v>
      </c>
      <c r="AY95" s="158" t="str">
        <f t="shared" si="75"/>
        <v>服务业华侨投资区</v>
      </c>
      <c r="AZ95" s="158" t="str">
        <f t="shared" si="76"/>
        <v>服务业</v>
      </c>
    </row>
    <row r="96" ht="84" customHeight="1" spans="1:52">
      <c r="A96" s="23">
        <f>SUBTOTAL(3,C$10:C96)</f>
        <v>77</v>
      </c>
      <c r="B96" s="60" t="s">
        <v>541</v>
      </c>
      <c r="C96" s="23" t="s">
        <v>79</v>
      </c>
      <c r="D96" s="88" t="s">
        <v>542</v>
      </c>
      <c r="E96" s="23" t="s">
        <v>112</v>
      </c>
      <c r="F96" s="67">
        <v>7000</v>
      </c>
      <c r="G96" s="67"/>
      <c r="H96" s="67" t="s">
        <v>195</v>
      </c>
      <c r="I96" s="67">
        <v>160</v>
      </c>
      <c r="J96" s="67">
        <v>550</v>
      </c>
      <c r="K96" s="67">
        <v>780</v>
      </c>
      <c r="L96" s="67">
        <v>1000</v>
      </c>
      <c r="M96" s="67"/>
      <c r="N96" s="123" t="s">
        <v>543</v>
      </c>
      <c r="O96" s="111"/>
      <c r="P96" s="858"/>
      <c r="Q96" s="730" t="s">
        <v>115</v>
      </c>
      <c r="R96" s="730" t="s">
        <v>115</v>
      </c>
      <c r="S96" s="730" t="s">
        <v>115</v>
      </c>
      <c r="T96" s="832"/>
      <c r="U96" s="115"/>
      <c r="V96" s="115"/>
      <c r="W96" s="115"/>
      <c r="X96" s="90" t="s">
        <v>538</v>
      </c>
      <c r="Y96" s="90" t="s">
        <v>117</v>
      </c>
      <c r="Z96" s="132"/>
      <c r="AA96" s="132"/>
      <c r="AB96" s="132"/>
      <c r="AC96" s="132"/>
      <c r="AD96" s="132"/>
      <c r="AE96" s="132"/>
      <c r="AF96" s="132"/>
      <c r="AG96" s="132"/>
      <c r="AH96" s="132"/>
      <c r="AI96" s="132"/>
      <c r="AJ96" s="132"/>
      <c r="AK96" s="132"/>
      <c r="AL96" s="132"/>
      <c r="AM96" s="132"/>
      <c r="AN96" s="132"/>
      <c r="AO96" s="132"/>
      <c r="AP96" s="132"/>
      <c r="AQ96" s="90"/>
      <c r="AR96" s="112" t="s">
        <v>544</v>
      </c>
      <c r="AS96" s="123" t="s">
        <v>545</v>
      </c>
      <c r="AT96" s="34" t="s">
        <v>359</v>
      </c>
      <c r="AU96" s="93"/>
      <c r="AW96" s="158" t="s">
        <v>360</v>
      </c>
      <c r="AX96" s="158" t="s">
        <v>459</v>
      </c>
      <c r="AY96" s="158" t="str">
        <f t="shared" si="75"/>
        <v>服务业钦南区</v>
      </c>
      <c r="AZ96" s="158" t="str">
        <f t="shared" si="76"/>
        <v>服务业</v>
      </c>
    </row>
    <row r="97" ht="102.75" customHeight="1" spans="1:52">
      <c r="A97" s="23">
        <f>SUBTOTAL(3,C$10:C97)</f>
        <v>78</v>
      </c>
      <c r="B97" s="55" t="s">
        <v>546</v>
      </c>
      <c r="C97" s="23" t="s">
        <v>79</v>
      </c>
      <c r="D97" s="55" t="s">
        <v>547</v>
      </c>
      <c r="E97" s="23" t="s">
        <v>81</v>
      </c>
      <c r="F97" s="67">
        <v>3561.22</v>
      </c>
      <c r="G97" s="67"/>
      <c r="H97" s="67" t="s">
        <v>244</v>
      </c>
      <c r="I97" s="67">
        <v>500</v>
      </c>
      <c r="J97" s="67">
        <v>1000</v>
      </c>
      <c r="K97" s="67">
        <v>1500</v>
      </c>
      <c r="L97" s="67">
        <v>2000</v>
      </c>
      <c r="M97" s="67"/>
      <c r="N97" s="123" t="s">
        <v>548</v>
      </c>
      <c r="O97" s="111"/>
      <c r="P97" s="858"/>
      <c r="Q97" s="730"/>
      <c r="R97" s="730"/>
      <c r="S97" s="730"/>
      <c r="T97" s="832"/>
      <c r="U97" s="115"/>
      <c r="V97" s="115"/>
      <c r="W97" s="115"/>
      <c r="X97" s="90"/>
      <c r="Y97" s="90"/>
      <c r="Z97" s="132"/>
      <c r="AA97" s="132"/>
      <c r="AB97" s="132"/>
      <c r="AC97" s="132"/>
      <c r="AD97" s="132"/>
      <c r="AE97" s="132"/>
      <c r="AF97" s="132"/>
      <c r="AG97" s="132"/>
      <c r="AH97" s="132"/>
      <c r="AI97" s="132"/>
      <c r="AJ97" s="132"/>
      <c r="AK97" s="132"/>
      <c r="AL97" s="132"/>
      <c r="AM97" s="132"/>
      <c r="AN97" s="132"/>
      <c r="AO97" s="132"/>
      <c r="AP97" s="132"/>
      <c r="AQ97" s="90"/>
      <c r="AR97" s="112" t="s">
        <v>117</v>
      </c>
      <c r="AS97" s="123" t="s">
        <v>549</v>
      </c>
      <c r="AT97" s="34" t="s">
        <v>359</v>
      </c>
      <c r="AU97" s="93"/>
      <c r="AW97" s="158" t="s">
        <v>360</v>
      </c>
      <c r="AX97" s="158" t="s">
        <v>459</v>
      </c>
      <c r="AY97" s="158" t="str">
        <f t="shared" si="75"/>
        <v>服务业钦南区</v>
      </c>
      <c r="AZ97" s="158" t="str">
        <f t="shared" si="76"/>
        <v>服务业</v>
      </c>
    </row>
    <row r="98" ht="75.95" customHeight="1" spans="1:52">
      <c r="A98" s="23">
        <f>SUBTOTAL(3,C$10:C98)</f>
        <v>79</v>
      </c>
      <c r="B98" s="60" t="s">
        <v>550</v>
      </c>
      <c r="C98" s="23" t="s">
        <v>79</v>
      </c>
      <c r="D98" s="88" t="s">
        <v>551</v>
      </c>
      <c r="E98" s="35" t="s">
        <v>262</v>
      </c>
      <c r="F98" s="35">
        <v>103532</v>
      </c>
      <c r="G98" s="35"/>
      <c r="H98" s="81" t="s">
        <v>209</v>
      </c>
      <c r="I98" s="81"/>
      <c r="J98" s="81"/>
      <c r="K98" s="37">
        <v>500</v>
      </c>
      <c r="L98" s="38">
        <v>8000</v>
      </c>
      <c r="M98" s="38"/>
      <c r="N98" s="112" t="s">
        <v>552</v>
      </c>
      <c r="O98" s="111"/>
      <c r="P98" s="858"/>
      <c r="Q98" s="730" t="s">
        <v>115</v>
      </c>
      <c r="R98" s="730" t="s">
        <v>115</v>
      </c>
      <c r="S98" s="730" t="s">
        <v>115</v>
      </c>
      <c r="T98" s="832"/>
      <c r="U98" s="115"/>
      <c r="V98" s="115"/>
      <c r="W98" s="115"/>
      <c r="X98" s="90" t="s">
        <v>538</v>
      </c>
      <c r="Y98" s="90" t="s">
        <v>117</v>
      </c>
      <c r="Z98" s="132">
        <v>211</v>
      </c>
      <c r="AA98" s="132">
        <v>114</v>
      </c>
      <c r="AB98" s="132">
        <v>97</v>
      </c>
      <c r="AC98" s="132"/>
      <c r="AD98" s="132"/>
      <c r="AE98" s="132"/>
      <c r="AF98" s="132"/>
      <c r="AG98" s="132"/>
      <c r="AH98" s="132"/>
      <c r="AI98" s="132"/>
      <c r="AJ98" s="132"/>
      <c r="AK98" s="132"/>
      <c r="AL98" s="132"/>
      <c r="AM98" s="132"/>
      <c r="AN98" s="132"/>
      <c r="AO98" s="132"/>
      <c r="AP98" s="132"/>
      <c r="AQ98" s="90"/>
      <c r="AR98" s="112" t="s">
        <v>117</v>
      </c>
      <c r="AS98" s="34" t="s">
        <v>553</v>
      </c>
      <c r="AT98" s="131" t="s">
        <v>375</v>
      </c>
      <c r="AU98" s="93"/>
      <c r="AW98" s="158" t="s">
        <v>376</v>
      </c>
      <c r="AX98" s="158" t="s">
        <v>459</v>
      </c>
      <c r="AY98" s="158" t="str">
        <f t="shared" si="75"/>
        <v>服务业钦北区</v>
      </c>
      <c r="AZ98" s="158" t="str">
        <f t="shared" si="76"/>
        <v>服务业</v>
      </c>
    </row>
    <row r="99" ht="83.1" customHeight="1" spans="1:52">
      <c r="A99" s="23">
        <f>SUBTOTAL(3,C$10:C99)</f>
        <v>80</v>
      </c>
      <c r="B99" s="60" t="s">
        <v>554</v>
      </c>
      <c r="C99" s="23" t="s">
        <v>79</v>
      </c>
      <c r="D99" s="88" t="s">
        <v>555</v>
      </c>
      <c r="E99" s="23" t="s">
        <v>208</v>
      </c>
      <c r="F99" s="67">
        <v>62000</v>
      </c>
      <c r="G99" s="67"/>
      <c r="H99" s="81" t="s">
        <v>82</v>
      </c>
      <c r="I99" s="81"/>
      <c r="J99" s="81"/>
      <c r="K99" s="81"/>
      <c r="L99" s="36">
        <v>5000</v>
      </c>
      <c r="M99" s="36"/>
      <c r="N99" s="112" t="s">
        <v>556</v>
      </c>
      <c r="O99" s="111"/>
      <c r="P99" s="858"/>
      <c r="Q99" s="832" t="s">
        <v>115</v>
      </c>
      <c r="R99" s="832" t="s">
        <v>115</v>
      </c>
      <c r="S99" s="832" t="s">
        <v>115</v>
      </c>
      <c r="T99" s="832" t="s">
        <v>115</v>
      </c>
      <c r="U99" s="115"/>
      <c r="V99" s="115"/>
      <c r="W99" s="115"/>
      <c r="X99" s="90" t="s">
        <v>557</v>
      </c>
      <c r="Y99" s="90" t="s">
        <v>117</v>
      </c>
      <c r="Z99" s="132">
        <v>323</v>
      </c>
      <c r="AA99" s="132">
        <v>200</v>
      </c>
      <c r="AB99" s="132">
        <v>123</v>
      </c>
      <c r="AC99" s="132"/>
      <c r="AD99" s="132"/>
      <c r="AE99" s="132"/>
      <c r="AF99" s="132"/>
      <c r="AG99" s="132"/>
      <c r="AH99" s="132"/>
      <c r="AI99" s="132"/>
      <c r="AJ99" s="132"/>
      <c r="AK99" s="132"/>
      <c r="AL99" s="132"/>
      <c r="AM99" s="132"/>
      <c r="AN99" s="132"/>
      <c r="AO99" s="132"/>
      <c r="AP99" s="132"/>
      <c r="AQ99" s="90"/>
      <c r="AR99" s="112" t="s">
        <v>558</v>
      </c>
      <c r="AS99" s="123" t="s">
        <v>559</v>
      </c>
      <c r="AT99" s="34" t="s">
        <v>375</v>
      </c>
      <c r="AU99" s="93"/>
      <c r="AW99" s="158" t="s">
        <v>376</v>
      </c>
      <c r="AX99" s="158" t="s">
        <v>459</v>
      </c>
      <c r="AY99" s="158" t="str">
        <f t="shared" si="75"/>
        <v>服务业钦北区</v>
      </c>
      <c r="AZ99" s="158" t="str">
        <f t="shared" si="76"/>
        <v>服务业</v>
      </c>
    </row>
    <row r="100" ht="35.1" customHeight="1" spans="1:47">
      <c r="A100" s="753" t="s">
        <v>560</v>
      </c>
      <c r="B100" s="557" t="str">
        <f>"续建项目（"&amp;SUBTOTAL(3,C102:C166)&amp;"个）"</f>
        <v>续建项目（53个）</v>
      </c>
      <c r="C100" s="557"/>
      <c r="D100" s="557"/>
      <c r="E100" s="754"/>
      <c r="F100" s="134">
        <f t="shared" ref="F100:M100" si="77">F101+F140+F146+F152</f>
        <v>3543409</v>
      </c>
      <c r="G100" s="134">
        <f t="shared" si="77"/>
        <v>684070</v>
      </c>
      <c r="H100" s="134"/>
      <c r="I100" s="134">
        <f t="shared" si="77"/>
        <v>95470</v>
      </c>
      <c r="J100" s="134">
        <f t="shared" si="77"/>
        <v>245150</v>
      </c>
      <c r="K100" s="134">
        <f t="shared" si="77"/>
        <v>427500</v>
      </c>
      <c r="L100" s="134">
        <f t="shared" si="77"/>
        <v>579700</v>
      </c>
      <c r="M100" s="134">
        <f t="shared" si="77"/>
        <v>56000</v>
      </c>
      <c r="N100" s="591"/>
      <c r="O100" s="133"/>
      <c r="P100" s="134"/>
      <c r="Q100" s="37"/>
      <c r="R100" s="37"/>
      <c r="S100" s="37"/>
      <c r="T100" s="37"/>
      <c r="U100" s="37"/>
      <c r="V100" s="37"/>
      <c r="W100" s="37"/>
      <c r="X100" s="585"/>
      <c r="Y100" s="585"/>
      <c r="Z100" s="134">
        <f t="shared" ref="Z100:AP100" si="78">Z101+Z140+Z146+Z152</f>
        <v>4623.89</v>
      </c>
      <c r="AA100" s="134">
        <f t="shared" si="78"/>
        <v>2507.3458</v>
      </c>
      <c r="AB100" s="134">
        <f t="shared" si="78"/>
        <v>1639.5442</v>
      </c>
      <c r="AC100" s="134">
        <f t="shared" si="78"/>
        <v>287.1915</v>
      </c>
      <c r="AD100" s="134">
        <f t="shared" si="78"/>
        <v>287.1915</v>
      </c>
      <c r="AE100" s="134">
        <f t="shared" si="78"/>
        <v>0</v>
      </c>
      <c r="AF100" s="134">
        <f t="shared" si="78"/>
        <v>0</v>
      </c>
      <c r="AG100" s="134">
        <f t="shared" si="78"/>
        <v>0</v>
      </c>
      <c r="AH100" s="134">
        <f t="shared" si="78"/>
        <v>0</v>
      </c>
      <c r="AI100" s="134">
        <f t="shared" si="78"/>
        <v>500</v>
      </c>
      <c r="AJ100" s="134">
        <f t="shared" si="78"/>
        <v>0</v>
      </c>
      <c r="AK100" s="134">
        <f t="shared" si="78"/>
        <v>500</v>
      </c>
      <c r="AL100" s="134">
        <f t="shared" si="78"/>
        <v>9597</v>
      </c>
      <c r="AM100" s="134">
        <f t="shared" si="78"/>
        <v>5244</v>
      </c>
      <c r="AN100" s="134">
        <f t="shared" si="78"/>
        <v>0</v>
      </c>
      <c r="AO100" s="134">
        <f t="shared" si="78"/>
        <v>95870</v>
      </c>
      <c r="AP100" s="134">
        <f t="shared" si="78"/>
        <v>22490</v>
      </c>
      <c r="AQ100" s="585"/>
      <c r="AR100" s="577"/>
      <c r="AS100" s="774"/>
      <c r="AT100" s="774"/>
      <c r="AU100" s="171"/>
    </row>
    <row r="101" ht="30.95" customHeight="1" spans="1:47">
      <c r="A101" s="551" t="s">
        <v>77</v>
      </c>
      <c r="B101" s="557" t="str">
        <f>"工业（"&amp;SUBTOTAL(3,C103:C139)&amp;"个）"</f>
        <v>工业（29个）</v>
      </c>
      <c r="C101" s="557"/>
      <c r="D101" s="557"/>
      <c r="E101" s="551"/>
      <c r="F101" s="134">
        <f t="shared" ref="F101:M101" si="79">F102+F105+F108+F117+F120+F122+F124+F130+F134</f>
        <v>2463274</v>
      </c>
      <c r="G101" s="134">
        <f t="shared" si="79"/>
        <v>418222</v>
      </c>
      <c r="H101" s="134"/>
      <c r="I101" s="134">
        <f t="shared" si="79"/>
        <v>76900</v>
      </c>
      <c r="J101" s="134">
        <f t="shared" si="79"/>
        <v>189000</v>
      </c>
      <c r="K101" s="134">
        <f t="shared" si="79"/>
        <v>326200</v>
      </c>
      <c r="L101" s="134">
        <f t="shared" si="79"/>
        <v>431500</v>
      </c>
      <c r="M101" s="134">
        <f t="shared" si="79"/>
        <v>50000</v>
      </c>
      <c r="N101" s="591"/>
      <c r="O101" s="133"/>
      <c r="P101" s="134"/>
      <c r="Q101" s="37"/>
      <c r="R101" s="37"/>
      <c r="S101" s="37"/>
      <c r="T101" s="37"/>
      <c r="U101" s="37"/>
      <c r="V101" s="37"/>
      <c r="W101" s="37"/>
      <c r="X101" s="585"/>
      <c r="Y101" s="585"/>
      <c r="Z101" s="134">
        <f t="shared" ref="Z101:AP101" si="80">Z102+Z105+Z108+Z117+Z120+Z122+Z124+Z130+Z134</f>
        <v>3611</v>
      </c>
      <c r="AA101" s="134">
        <f t="shared" si="80"/>
        <v>2328.3458</v>
      </c>
      <c r="AB101" s="134">
        <f t="shared" si="80"/>
        <v>805.6542</v>
      </c>
      <c r="AC101" s="134">
        <f t="shared" si="80"/>
        <v>0</v>
      </c>
      <c r="AD101" s="134">
        <f t="shared" si="80"/>
        <v>0</v>
      </c>
      <c r="AE101" s="134">
        <f t="shared" si="80"/>
        <v>0</v>
      </c>
      <c r="AF101" s="134">
        <f t="shared" si="80"/>
        <v>0</v>
      </c>
      <c r="AG101" s="134">
        <f t="shared" si="80"/>
        <v>0</v>
      </c>
      <c r="AH101" s="134">
        <f t="shared" si="80"/>
        <v>0</v>
      </c>
      <c r="AI101" s="134">
        <f t="shared" si="80"/>
        <v>0</v>
      </c>
      <c r="AJ101" s="134">
        <f t="shared" si="80"/>
        <v>0</v>
      </c>
      <c r="AK101" s="134">
        <f t="shared" si="80"/>
        <v>0</v>
      </c>
      <c r="AL101" s="134">
        <f t="shared" si="80"/>
        <v>6201</v>
      </c>
      <c r="AM101" s="134">
        <f t="shared" si="80"/>
        <v>2000</v>
      </c>
      <c r="AN101" s="134">
        <f t="shared" si="80"/>
        <v>0</v>
      </c>
      <c r="AO101" s="134">
        <f t="shared" si="80"/>
        <v>60870</v>
      </c>
      <c r="AP101" s="134">
        <f t="shared" si="80"/>
        <v>13790</v>
      </c>
      <c r="AQ101" s="585"/>
      <c r="AR101" s="577"/>
      <c r="AS101" s="774"/>
      <c r="AT101" s="774"/>
      <c r="AU101" s="171"/>
    </row>
    <row r="102" ht="26.1" hidden="1" customHeight="1" spans="1:47">
      <c r="A102" s="551"/>
      <c r="B102" s="908" t="str">
        <f>"钦州港（"&amp;SUBTOTAL(3,C103:C104)&amp;"个）"</f>
        <v>钦州港（2个）</v>
      </c>
      <c r="C102" s="909"/>
      <c r="D102" s="910"/>
      <c r="E102" s="551"/>
      <c r="F102" s="134">
        <f t="shared" ref="F102:M102" si="81">SUBTOTAL(9,F103:F104)</f>
        <v>1152401</v>
      </c>
      <c r="G102" s="134">
        <f t="shared" si="81"/>
        <v>123207</v>
      </c>
      <c r="H102" s="134"/>
      <c r="I102" s="134">
        <f t="shared" si="81"/>
        <v>50000</v>
      </c>
      <c r="J102" s="134">
        <f t="shared" si="81"/>
        <v>121000</v>
      </c>
      <c r="K102" s="134">
        <f t="shared" si="81"/>
        <v>202000</v>
      </c>
      <c r="L102" s="134">
        <f t="shared" si="81"/>
        <v>253000</v>
      </c>
      <c r="M102" s="134">
        <f t="shared" si="81"/>
        <v>0</v>
      </c>
      <c r="N102" s="134"/>
      <c r="O102" s="133"/>
      <c r="P102" s="134"/>
      <c r="Q102" s="37"/>
      <c r="R102" s="37"/>
      <c r="S102" s="37"/>
      <c r="T102" s="37"/>
      <c r="U102" s="37"/>
      <c r="V102" s="37"/>
      <c r="W102" s="37"/>
      <c r="X102" s="585"/>
      <c r="Y102" s="585"/>
      <c r="Z102" s="134">
        <f t="shared" ref="Z102:AP102" si="82">SUBTOTAL(9,Z103:Z104)</f>
        <v>2757</v>
      </c>
      <c r="AA102" s="134">
        <f t="shared" si="82"/>
        <v>1574.3458</v>
      </c>
      <c r="AB102" s="134">
        <f t="shared" si="82"/>
        <v>705.6542</v>
      </c>
      <c r="AC102" s="134">
        <f t="shared" si="82"/>
        <v>0</v>
      </c>
      <c r="AD102" s="134">
        <f t="shared" si="82"/>
        <v>0</v>
      </c>
      <c r="AE102" s="134">
        <f t="shared" si="82"/>
        <v>0</v>
      </c>
      <c r="AF102" s="134">
        <f t="shared" si="82"/>
        <v>0</v>
      </c>
      <c r="AG102" s="134">
        <f t="shared" si="82"/>
        <v>0</v>
      </c>
      <c r="AH102" s="134">
        <f t="shared" si="82"/>
        <v>0</v>
      </c>
      <c r="AI102" s="134">
        <f t="shared" si="82"/>
        <v>0</v>
      </c>
      <c r="AJ102" s="134">
        <f t="shared" si="82"/>
        <v>0</v>
      </c>
      <c r="AK102" s="134">
        <f t="shared" si="82"/>
        <v>0</v>
      </c>
      <c r="AL102" s="134">
        <f t="shared" si="82"/>
        <v>0</v>
      </c>
      <c r="AM102" s="134">
        <f t="shared" si="82"/>
        <v>0</v>
      </c>
      <c r="AN102" s="134">
        <f t="shared" si="82"/>
        <v>0</v>
      </c>
      <c r="AO102" s="134">
        <f t="shared" si="82"/>
        <v>0</v>
      </c>
      <c r="AP102" s="134">
        <f t="shared" si="82"/>
        <v>0</v>
      </c>
      <c r="AQ102" s="585"/>
      <c r="AR102" s="577"/>
      <c r="AS102" s="774"/>
      <c r="AT102" s="775"/>
      <c r="AU102" s="171"/>
    </row>
    <row r="103" ht="105.95" customHeight="1" spans="1:52">
      <c r="A103" s="23">
        <f>SUBTOTAL(3,C$7:C103)</f>
        <v>81</v>
      </c>
      <c r="B103" s="60" t="s">
        <v>561</v>
      </c>
      <c r="C103" s="59" t="s">
        <v>562</v>
      </c>
      <c r="D103" s="60" t="s">
        <v>563</v>
      </c>
      <c r="E103" s="59" t="s">
        <v>564</v>
      </c>
      <c r="F103" s="59">
        <v>1098250</v>
      </c>
      <c r="G103" s="59">
        <v>108187</v>
      </c>
      <c r="H103" s="134"/>
      <c r="I103" s="59">
        <v>50000</v>
      </c>
      <c r="J103" s="59">
        <v>120000</v>
      </c>
      <c r="K103" s="59">
        <v>200000</v>
      </c>
      <c r="L103" s="59">
        <v>250000</v>
      </c>
      <c r="M103" s="134"/>
      <c r="N103" s="58" t="s">
        <v>565</v>
      </c>
      <c r="O103" s="133"/>
      <c r="P103" s="134"/>
      <c r="Q103" s="37"/>
      <c r="R103" s="37"/>
      <c r="S103" s="37"/>
      <c r="T103" s="37"/>
      <c r="U103" s="37"/>
      <c r="V103" s="37"/>
      <c r="W103" s="37"/>
      <c r="X103" s="585"/>
      <c r="Y103" s="585"/>
      <c r="Z103" s="251">
        <v>2280</v>
      </c>
      <c r="AA103" s="251">
        <v>1574.3458</v>
      </c>
      <c r="AB103" s="251">
        <v>705.6542</v>
      </c>
      <c r="AC103" s="251"/>
      <c r="AD103" s="251"/>
      <c r="AE103" s="251"/>
      <c r="AF103" s="251"/>
      <c r="AG103" s="251"/>
      <c r="AH103" s="251"/>
      <c r="AI103" s="251"/>
      <c r="AJ103" s="251"/>
      <c r="AK103" s="251"/>
      <c r="AL103" s="251"/>
      <c r="AM103" s="251"/>
      <c r="AN103" s="251"/>
      <c r="AO103" s="770"/>
      <c r="AP103" s="770"/>
      <c r="AQ103" s="585"/>
      <c r="AR103" s="90" t="s">
        <v>117</v>
      </c>
      <c r="AS103" s="58" t="s">
        <v>566</v>
      </c>
      <c r="AT103" s="123" t="s">
        <v>119</v>
      </c>
      <c r="AU103" s="91" t="s">
        <v>567</v>
      </c>
      <c r="AW103" s="158" t="s">
        <v>90</v>
      </c>
      <c r="AX103" s="158" t="s">
        <v>91</v>
      </c>
      <c r="AY103" s="158" t="str">
        <f t="shared" ref="AY103:AY107" si="83">AX103&amp;AW103</f>
        <v>工业钦州港</v>
      </c>
      <c r="AZ103" s="158" t="str">
        <f t="shared" ref="AZ103:AZ107" si="84">AX103</f>
        <v>工业</v>
      </c>
    </row>
    <row r="104" ht="53.1" customHeight="1" spans="1:52">
      <c r="A104" s="23">
        <f>SUBTOTAL(3,C$7:C104)</f>
        <v>82</v>
      </c>
      <c r="B104" s="60" t="s">
        <v>568</v>
      </c>
      <c r="C104" s="23" t="s">
        <v>562</v>
      </c>
      <c r="D104" s="60" t="s">
        <v>569</v>
      </c>
      <c r="E104" s="23" t="s">
        <v>564</v>
      </c>
      <c r="F104" s="67">
        <v>54151</v>
      </c>
      <c r="G104" s="67">
        <v>15020</v>
      </c>
      <c r="H104" s="134"/>
      <c r="I104" s="67"/>
      <c r="J104" s="67">
        <v>1000</v>
      </c>
      <c r="K104" s="67">
        <v>2000</v>
      </c>
      <c r="L104" s="67">
        <v>3000</v>
      </c>
      <c r="M104" s="134"/>
      <c r="N104" s="123" t="s">
        <v>570</v>
      </c>
      <c r="O104" s="133"/>
      <c r="P104" s="134"/>
      <c r="Q104" s="37"/>
      <c r="R104" s="37"/>
      <c r="S104" s="37"/>
      <c r="T104" s="37"/>
      <c r="U104" s="37"/>
      <c r="V104" s="37"/>
      <c r="W104" s="37"/>
      <c r="X104" s="585"/>
      <c r="Y104" s="585"/>
      <c r="Z104" s="132">
        <v>477</v>
      </c>
      <c r="AA104" s="132"/>
      <c r="AB104" s="132"/>
      <c r="AC104" s="132"/>
      <c r="AD104" s="132"/>
      <c r="AE104" s="132"/>
      <c r="AF104" s="132"/>
      <c r="AG104" s="132"/>
      <c r="AH104" s="132"/>
      <c r="AI104" s="132"/>
      <c r="AJ104" s="132"/>
      <c r="AK104" s="132"/>
      <c r="AL104" s="132"/>
      <c r="AM104" s="132"/>
      <c r="AN104" s="132"/>
      <c r="AO104" s="770"/>
      <c r="AP104" s="770"/>
      <c r="AQ104" s="585"/>
      <c r="AR104" s="90" t="s">
        <v>571</v>
      </c>
      <c r="AS104" s="123" t="s">
        <v>572</v>
      </c>
      <c r="AT104" s="123" t="s">
        <v>119</v>
      </c>
      <c r="AU104" s="91"/>
      <c r="AW104" s="158" t="s">
        <v>90</v>
      </c>
      <c r="AX104" s="158" t="s">
        <v>91</v>
      </c>
      <c r="AY104" s="158" t="str">
        <f t="shared" si="83"/>
        <v>工业钦州港</v>
      </c>
      <c r="AZ104" s="158" t="str">
        <f t="shared" si="84"/>
        <v>工业</v>
      </c>
    </row>
    <row r="105" ht="15.95" hidden="1" customHeight="1" spans="1:47">
      <c r="A105" s="551"/>
      <c r="B105" s="908" t="str">
        <f>"保税港（"&amp;SUBTOTAL(3,C106:C107)&amp;"个）"</f>
        <v>保税港（2个）</v>
      </c>
      <c r="C105" s="909"/>
      <c r="D105" s="910"/>
      <c r="E105" s="551"/>
      <c r="F105" s="134">
        <f t="shared" ref="F105:M105" si="85">SUBTOTAL(9,F106:F107)</f>
        <v>18600</v>
      </c>
      <c r="G105" s="134">
        <f t="shared" si="85"/>
        <v>8726</v>
      </c>
      <c r="H105" s="134"/>
      <c r="I105" s="134">
        <f t="shared" si="85"/>
        <v>0</v>
      </c>
      <c r="J105" s="134">
        <f t="shared" si="85"/>
        <v>2000</v>
      </c>
      <c r="K105" s="134">
        <f t="shared" si="85"/>
        <v>5000</v>
      </c>
      <c r="L105" s="134">
        <f t="shared" si="85"/>
        <v>7000</v>
      </c>
      <c r="M105" s="134">
        <f t="shared" si="85"/>
        <v>0</v>
      </c>
      <c r="N105" s="134"/>
      <c r="O105" s="133"/>
      <c r="P105" s="134"/>
      <c r="Q105" s="37"/>
      <c r="R105" s="37"/>
      <c r="S105" s="37"/>
      <c r="T105" s="37"/>
      <c r="U105" s="37"/>
      <c r="V105" s="37"/>
      <c r="W105" s="37"/>
      <c r="X105" s="585"/>
      <c r="Y105" s="585"/>
      <c r="Z105" s="134">
        <f t="shared" ref="Z105:AP105" si="86">SUBTOTAL(9,Z106:Z107)</f>
        <v>0</v>
      </c>
      <c r="AA105" s="134">
        <f t="shared" si="86"/>
        <v>0</v>
      </c>
      <c r="AB105" s="134">
        <f t="shared" si="86"/>
        <v>0</v>
      </c>
      <c r="AC105" s="134">
        <f t="shared" si="86"/>
        <v>0</v>
      </c>
      <c r="AD105" s="134">
        <f t="shared" si="86"/>
        <v>0</v>
      </c>
      <c r="AE105" s="134">
        <f t="shared" si="86"/>
        <v>0</v>
      </c>
      <c r="AF105" s="134">
        <f t="shared" si="86"/>
        <v>0</v>
      </c>
      <c r="AG105" s="134">
        <f t="shared" si="86"/>
        <v>0</v>
      </c>
      <c r="AH105" s="134">
        <f t="shared" si="86"/>
        <v>0</v>
      </c>
      <c r="AI105" s="134">
        <f t="shared" si="86"/>
        <v>0</v>
      </c>
      <c r="AJ105" s="134">
        <f t="shared" si="86"/>
        <v>0</v>
      </c>
      <c r="AK105" s="134">
        <f t="shared" si="86"/>
        <v>0</v>
      </c>
      <c r="AL105" s="134">
        <f t="shared" si="86"/>
        <v>0</v>
      </c>
      <c r="AM105" s="134">
        <f t="shared" si="86"/>
        <v>0</v>
      </c>
      <c r="AN105" s="134">
        <f t="shared" si="86"/>
        <v>0</v>
      </c>
      <c r="AO105" s="134">
        <f t="shared" si="86"/>
        <v>210</v>
      </c>
      <c r="AP105" s="134">
        <f t="shared" si="86"/>
        <v>2790</v>
      </c>
      <c r="AQ105" s="585"/>
      <c r="AR105" s="577"/>
      <c r="AS105" s="774"/>
      <c r="AT105" s="775"/>
      <c r="AU105" s="171"/>
    </row>
    <row r="106" ht="79.5" customHeight="1" spans="1:52">
      <c r="A106" s="23">
        <f>SUBTOTAL(3,C$7:C106)</f>
        <v>83</v>
      </c>
      <c r="B106" s="60" t="s">
        <v>573</v>
      </c>
      <c r="C106" s="23" t="s">
        <v>562</v>
      </c>
      <c r="D106" s="88" t="s">
        <v>574</v>
      </c>
      <c r="E106" s="23" t="s">
        <v>575</v>
      </c>
      <c r="F106" s="67">
        <v>10600</v>
      </c>
      <c r="G106" s="38">
        <v>5936</v>
      </c>
      <c r="H106" s="134"/>
      <c r="I106" s="36"/>
      <c r="J106" s="36">
        <v>1000</v>
      </c>
      <c r="K106" s="36">
        <v>2500</v>
      </c>
      <c r="L106" s="38">
        <v>4000</v>
      </c>
      <c r="M106" s="38"/>
      <c r="N106" s="112" t="s">
        <v>576</v>
      </c>
      <c r="O106" s="133"/>
      <c r="P106" s="134"/>
      <c r="Q106" s="37"/>
      <c r="R106" s="37"/>
      <c r="S106" s="37"/>
      <c r="T106" s="37"/>
      <c r="U106" s="37"/>
      <c r="V106" s="37"/>
      <c r="W106" s="37"/>
      <c r="X106" s="585"/>
      <c r="Y106" s="585"/>
      <c r="Z106" s="132"/>
      <c r="AA106" s="132"/>
      <c r="AB106" s="132"/>
      <c r="AC106" s="132"/>
      <c r="AD106" s="132"/>
      <c r="AE106" s="132"/>
      <c r="AF106" s="132"/>
      <c r="AG106" s="132"/>
      <c r="AH106" s="132"/>
      <c r="AI106" s="132"/>
      <c r="AJ106" s="132"/>
      <c r="AK106" s="132"/>
      <c r="AL106" s="132"/>
      <c r="AM106" s="132"/>
      <c r="AN106" s="132"/>
      <c r="AO106" s="770"/>
      <c r="AP106" s="770"/>
      <c r="AQ106" s="585"/>
      <c r="AR106" s="90" t="s">
        <v>577</v>
      </c>
      <c r="AS106" s="123" t="s">
        <v>578</v>
      </c>
      <c r="AT106" s="123" t="s">
        <v>166</v>
      </c>
      <c r="AU106" s="91"/>
      <c r="AW106" s="158" t="s">
        <v>167</v>
      </c>
      <c r="AX106" s="158" t="s">
        <v>91</v>
      </c>
      <c r="AY106" s="158" t="str">
        <f t="shared" si="83"/>
        <v>工业保税港</v>
      </c>
      <c r="AZ106" s="158" t="str">
        <f t="shared" si="84"/>
        <v>工业</v>
      </c>
    </row>
    <row r="107" s="9" customFormat="1" ht="86.25" customHeight="1" spans="1:66">
      <c r="A107" s="23">
        <f>SUBTOTAL(3,C$7:C107)</f>
        <v>84</v>
      </c>
      <c r="B107" s="55" t="s">
        <v>579</v>
      </c>
      <c r="C107" s="23" t="s">
        <v>562</v>
      </c>
      <c r="D107" s="634" t="s">
        <v>580</v>
      </c>
      <c r="E107" s="35" t="s">
        <v>575</v>
      </c>
      <c r="F107" s="38">
        <v>8000</v>
      </c>
      <c r="G107" s="67">
        <v>2790</v>
      </c>
      <c r="H107" s="134"/>
      <c r="I107" s="37"/>
      <c r="J107" s="37">
        <v>1000</v>
      </c>
      <c r="K107" s="37">
        <v>2500</v>
      </c>
      <c r="L107" s="67">
        <v>3000</v>
      </c>
      <c r="M107" s="134"/>
      <c r="N107" s="123" t="s">
        <v>581</v>
      </c>
      <c r="O107" s="133"/>
      <c r="P107" s="134"/>
      <c r="Q107" s="37"/>
      <c r="R107" s="37"/>
      <c r="S107" s="37"/>
      <c r="T107" s="37"/>
      <c r="U107" s="37"/>
      <c r="V107" s="37"/>
      <c r="W107" s="37"/>
      <c r="X107" s="585"/>
      <c r="Y107" s="585"/>
      <c r="Z107" s="770"/>
      <c r="AA107" s="770"/>
      <c r="AB107" s="770"/>
      <c r="AC107" s="770"/>
      <c r="AD107" s="770"/>
      <c r="AE107" s="770"/>
      <c r="AF107" s="770"/>
      <c r="AG107" s="770"/>
      <c r="AH107" s="770"/>
      <c r="AI107" s="770"/>
      <c r="AJ107" s="770"/>
      <c r="AK107" s="770"/>
      <c r="AL107" s="770"/>
      <c r="AM107" s="770"/>
      <c r="AN107" s="770"/>
      <c r="AO107" s="132">
        <v>210</v>
      </c>
      <c r="AP107" s="132">
        <v>2790</v>
      </c>
      <c r="AQ107" s="90"/>
      <c r="AR107" s="90" t="s">
        <v>582</v>
      </c>
      <c r="AS107" s="66" t="s">
        <v>172</v>
      </c>
      <c r="AT107" s="123" t="s">
        <v>166</v>
      </c>
      <c r="AU107" s="171"/>
      <c r="AV107" s="619"/>
      <c r="AW107" s="158" t="s">
        <v>167</v>
      </c>
      <c r="AX107" s="158" t="s">
        <v>91</v>
      </c>
      <c r="AY107" s="158" t="str">
        <f t="shared" si="83"/>
        <v>工业保税港</v>
      </c>
      <c r="AZ107" s="158" t="str">
        <f t="shared" si="84"/>
        <v>工业</v>
      </c>
      <c r="BA107" s="842"/>
      <c r="BB107" s="619"/>
      <c r="BC107" s="619"/>
      <c r="BD107" s="619"/>
      <c r="BE107" s="842"/>
      <c r="BF107" s="842"/>
      <c r="BG107" s="842"/>
      <c r="BI107" s="619"/>
      <c r="BJ107" s="659"/>
      <c r="BK107" s="659"/>
      <c r="BN107" s="7"/>
    </row>
    <row r="108" ht="15.95" hidden="1" customHeight="1" spans="1:47">
      <c r="A108" s="551"/>
      <c r="B108" s="908" t="str">
        <f>"中马园（"&amp;SUBTOTAL(3,C109:C116)&amp;"个）"</f>
        <v>中马园（8个）</v>
      </c>
      <c r="C108" s="909"/>
      <c r="D108" s="910"/>
      <c r="E108" s="551"/>
      <c r="F108" s="134">
        <f t="shared" ref="F108:M108" si="87">SUBTOTAL(9,F109:F116)</f>
        <v>772200</v>
      </c>
      <c r="G108" s="134">
        <f t="shared" si="87"/>
        <v>160200</v>
      </c>
      <c r="H108" s="134"/>
      <c r="I108" s="134">
        <f t="shared" si="87"/>
        <v>6600</v>
      </c>
      <c r="J108" s="134">
        <f t="shared" si="87"/>
        <v>21100</v>
      </c>
      <c r="K108" s="134">
        <f t="shared" si="87"/>
        <v>41100</v>
      </c>
      <c r="L108" s="134">
        <f t="shared" si="87"/>
        <v>56500</v>
      </c>
      <c r="M108" s="134">
        <f t="shared" si="87"/>
        <v>0</v>
      </c>
      <c r="N108" s="134"/>
      <c r="O108" s="133"/>
      <c r="P108" s="134"/>
      <c r="Q108" s="37"/>
      <c r="R108" s="37"/>
      <c r="S108" s="37"/>
      <c r="T108" s="37"/>
      <c r="U108" s="37"/>
      <c r="V108" s="37"/>
      <c r="W108" s="37"/>
      <c r="X108" s="585"/>
      <c r="Y108" s="585"/>
      <c r="Z108" s="134">
        <f t="shared" ref="Z108:AP108" si="88">SUBTOTAL(9,Z109:Z116)</f>
        <v>155</v>
      </c>
      <c r="AA108" s="134">
        <f t="shared" si="88"/>
        <v>155</v>
      </c>
      <c r="AB108" s="134">
        <f t="shared" si="88"/>
        <v>0</v>
      </c>
      <c r="AC108" s="134">
        <f t="shared" si="88"/>
        <v>0</v>
      </c>
      <c r="AD108" s="134">
        <f t="shared" si="88"/>
        <v>0</v>
      </c>
      <c r="AE108" s="134">
        <f t="shared" si="88"/>
        <v>0</v>
      </c>
      <c r="AF108" s="134">
        <f t="shared" si="88"/>
        <v>0</v>
      </c>
      <c r="AG108" s="134">
        <f t="shared" si="88"/>
        <v>0</v>
      </c>
      <c r="AH108" s="134">
        <f t="shared" si="88"/>
        <v>0</v>
      </c>
      <c r="AI108" s="134">
        <f t="shared" si="88"/>
        <v>0</v>
      </c>
      <c r="AJ108" s="134">
        <f t="shared" si="88"/>
        <v>0</v>
      </c>
      <c r="AK108" s="134">
        <f t="shared" si="88"/>
        <v>0</v>
      </c>
      <c r="AL108" s="134">
        <f t="shared" si="88"/>
        <v>6201</v>
      </c>
      <c r="AM108" s="134">
        <f t="shared" si="88"/>
        <v>2000</v>
      </c>
      <c r="AN108" s="134">
        <f t="shared" si="88"/>
        <v>0</v>
      </c>
      <c r="AO108" s="134">
        <f t="shared" si="88"/>
        <v>53317</v>
      </c>
      <c r="AP108" s="134">
        <f t="shared" si="88"/>
        <v>11000</v>
      </c>
      <c r="AQ108" s="585"/>
      <c r="AR108" s="577"/>
      <c r="AS108" s="774"/>
      <c r="AT108" s="775"/>
      <c r="AU108" s="171"/>
    </row>
    <row r="109" ht="90.75" customHeight="1" spans="1:52">
      <c r="A109" s="23">
        <f>SUBTOTAL(3,C$7:C109)</f>
        <v>85</v>
      </c>
      <c r="B109" s="55" t="s">
        <v>583</v>
      </c>
      <c r="C109" s="35" t="s">
        <v>562</v>
      </c>
      <c r="D109" s="60" t="s">
        <v>584</v>
      </c>
      <c r="E109" s="59" t="s">
        <v>564</v>
      </c>
      <c r="F109" s="36">
        <v>380000</v>
      </c>
      <c r="G109" s="36">
        <v>68000</v>
      </c>
      <c r="H109" s="134"/>
      <c r="I109" s="36">
        <v>600</v>
      </c>
      <c r="J109" s="36">
        <v>2000</v>
      </c>
      <c r="K109" s="36">
        <v>3400</v>
      </c>
      <c r="L109" s="36">
        <v>5000</v>
      </c>
      <c r="M109" s="36"/>
      <c r="N109" s="112" t="s">
        <v>585</v>
      </c>
      <c r="O109" s="133"/>
      <c r="P109" s="134"/>
      <c r="Q109" s="37"/>
      <c r="R109" s="37"/>
      <c r="S109" s="37"/>
      <c r="T109" s="37"/>
      <c r="U109" s="37"/>
      <c r="V109" s="37"/>
      <c r="W109" s="37"/>
      <c r="X109" s="585"/>
      <c r="Y109" s="585"/>
      <c r="Z109" s="770"/>
      <c r="AA109" s="770"/>
      <c r="AB109" s="770"/>
      <c r="AC109" s="770"/>
      <c r="AD109" s="770"/>
      <c r="AE109" s="770"/>
      <c r="AF109" s="770"/>
      <c r="AG109" s="770"/>
      <c r="AH109" s="770"/>
      <c r="AI109" s="770"/>
      <c r="AJ109" s="770"/>
      <c r="AK109" s="770"/>
      <c r="AL109" s="770"/>
      <c r="AM109" s="770"/>
      <c r="AN109" s="770"/>
      <c r="AO109" s="551">
        <v>5000</v>
      </c>
      <c r="AP109" s="551">
        <v>5000</v>
      </c>
      <c r="AQ109" s="585"/>
      <c r="AR109" s="90" t="s">
        <v>117</v>
      </c>
      <c r="AS109" s="34" t="s">
        <v>198</v>
      </c>
      <c r="AT109" s="34" t="s">
        <v>185</v>
      </c>
      <c r="AU109" s="91"/>
      <c r="AW109" s="158" t="s">
        <v>186</v>
      </c>
      <c r="AX109" s="158" t="s">
        <v>91</v>
      </c>
      <c r="AY109" s="158" t="str">
        <f t="shared" ref="AY109:AY116" si="89">AX109&amp;AW109</f>
        <v>工业中马园</v>
      </c>
      <c r="AZ109" s="158" t="str">
        <f t="shared" ref="AZ109:AZ116" si="90">AX109</f>
        <v>工业</v>
      </c>
    </row>
    <row r="110" ht="88.5" customHeight="1" spans="1:52">
      <c r="A110" s="23">
        <f>SUBTOTAL(3,C$7:C110)</f>
        <v>86</v>
      </c>
      <c r="B110" s="93" t="s">
        <v>586</v>
      </c>
      <c r="C110" s="92" t="s">
        <v>562</v>
      </c>
      <c r="D110" s="93" t="s">
        <v>587</v>
      </c>
      <c r="E110" s="92" t="s">
        <v>588</v>
      </c>
      <c r="F110" s="92">
        <v>151600</v>
      </c>
      <c r="G110" s="92">
        <v>68000</v>
      </c>
      <c r="H110" s="134"/>
      <c r="I110" s="36">
        <v>2000</v>
      </c>
      <c r="J110" s="36">
        <v>8000</v>
      </c>
      <c r="K110" s="36">
        <v>14000</v>
      </c>
      <c r="L110" s="581">
        <v>20000</v>
      </c>
      <c r="M110" s="581"/>
      <c r="N110" s="112" t="s">
        <v>589</v>
      </c>
      <c r="O110" s="133"/>
      <c r="P110" s="134"/>
      <c r="Q110" s="37"/>
      <c r="R110" s="37"/>
      <c r="S110" s="37"/>
      <c r="T110" s="37"/>
      <c r="U110" s="37"/>
      <c r="V110" s="37"/>
      <c r="W110" s="37"/>
      <c r="X110" s="585"/>
      <c r="Y110" s="585"/>
      <c r="Z110" s="134">
        <v>155</v>
      </c>
      <c r="AA110" s="134">
        <v>155</v>
      </c>
      <c r="AB110" s="770"/>
      <c r="AC110" s="770"/>
      <c r="AD110" s="770"/>
      <c r="AE110" s="770"/>
      <c r="AF110" s="770"/>
      <c r="AG110" s="770"/>
      <c r="AH110" s="770"/>
      <c r="AI110" s="770"/>
      <c r="AJ110" s="770"/>
      <c r="AK110" s="770"/>
      <c r="AL110" s="730">
        <v>6201</v>
      </c>
      <c r="AM110" s="551">
        <v>2000</v>
      </c>
      <c r="AN110" s="551">
        <v>0</v>
      </c>
      <c r="AO110" s="551">
        <v>37817</v>
      </c>
      <c r="AP110" s="551">
        <v>0</v>
      </c>
      <c r="AQ110" s="585"/>
      <c r="AR110" s="135" t="s">
        <v>590</v>
      </c>
      <c r="AS110" s="123" t="s">
        <v>591</v>
      </c>
      <c r="AT110" s="91" t="s">
        <v>185</v>
      </c>
      <c r="AU110" s="270"/>
      <c r="AW110" s="158" t="s">
        <v>186</v>
      </c>
      <c r="AX110" s="158" t="s">
        <v>91</v>
      </c>
      <c r="AY110" s="158" t="str">
        <f t="shared" si="89"/>
        <v>工业中马园</v>
      </c>
      <c r="AZ110" s="158" t="str">
        <f t="shared" si="90"/>
        <v>工业</v>
      </c>
    </row>
    <row r="111" ht="66.75" customHeight="1" spans="1:52">
      <c r="A111" s="23">
        <f>SUBTOTAL(3,C$7:C111)</f>
        <v>87</v>
      </c>
      <c r="B111" s="55" t="s">
        <v>592</v>
      </c>
      <c r="C111" s="35" t="s">
        <v>562</v>
      </c>
      <c r="D111" s="60" t="s">
        <v>593</v>
      </c>
      <c r="E111" s="35" t="s">
        <v>564</v>
      </c>
      <c r="F111" s="36">
        <v>100000</v>
      </c>
      <c r="G111" s="36">
        <v>12000</v>
      </c>
      <c r="H111" s="134"/>
      <c r="I111" s="67">
        <v>1500</v>
      </c>
      <c r="J111" s="67">
        <v>3000</v>
      </c>
      <c r="K111" s="67">
        <v>4500</v>
      </c>
      <c r="L111" s="36">
        <v>6000</v>
      </c>
      <c r="M111" s="36"/>
      <c r="N111" s="123" t="s">
        <v>594</v>
      </c>
      <c r="O111" s="133"/>
      <c r="P111" s="134"/>
      <c r="Q111" s="37"/>
      <c r="R111" s="37"/>
      <c r="S111" s="37"/>
      <c r="T111" s="37"/>
      <c r="U111" s="37"/>
      <c r="V111" s="37"/>
      <c r="W111" s="37"/>
      <c r="X111" s="585"/>
      <c r="Y111" s="585"/>
      <c r="Z111" s="770"/>
      <c r="AA111" s="770"/>
      <c r="AB111" s="770"/>
      <c r="AC111" s="770"/>
      <c r="AD111" s="770"/>
      <c r="AE111" s="770"/>
      <c r="AF111" s="770"/>
      <c r="AG111" s="770"/>
      <c r="AH111" s="770"/>
      <c r="AI111" s="770"/>
      <c r="AJ111" s="770"/>
      <c r="AK111" s="770"/>
      <c r="AL111" s="770"/>
      <c r="AM111" s="770"/>
      <c r="AN111" s="770"/>
      <c r="AO111" s="330">
        <v>2000</v>
      </c>
      <c r="AP111" s="330">
        <v>4000</v>
      </c>
      <c r="AQ111" s="585"/>
      <c r="AR111" s="90" t="s">
        <v>595</v>
      </c>
      <c r="AS111" s="34" t="s">
        <v>596</v>
      </c>
      <c r="AT111" s="34" t="s">
        <v>185</v>
      </c>
      <c r="AU111" s="91"/>
      <c r="AW111" s="158" t="s">
        <v>186</v>
      </c>
      <c r="AX111" s="158" t="s">
        <v>91</v>
      </c>
      <c r="AY111" s="158" t="str">
        <f t="shared" si="89"/>
        <v>工业中马园</v>
      </c>
      <c r="AZ111" s="158" t="str">
        <f t="shared" si="90"/>
        <v>工业</v>
      </c>
    </row>
    <row r="112" ht="81" customHeight="1" spans="1:52">
      <c r="A112" s="23">
        <f>SUBTOTAL(3,C$7:C112)</f>
        <v>88</v>
      </c>
      <c r="B112" s="55" t="s">
        <v>597</v>
      </c>
      <c r="C112" s="23" t="s">
        <v>562</v>
      </c>
      <c r="D112" s="88" t="s">
        <v>598</v>
      </c>
      <c r="E112" s="35" t="s">
        <v>575</v>
      </c>
      <c r="F112" s="36">
        <v>78000</v>
      </c>
      <c r="G112" s="67">
        <v>1000</v>
      </c>
      <c r="H112" s="134"/>
      <c r="I112" s="35">
        <v>200</v>
      </c>
      <c r="J112" s="35">
        <v>1800</v>
      </c>
      <c r="K112" s="35">
        <v>8400</v>
      </c>
      <c r="L112" s="36">
        <v>10000</v>
      </c>
      <c r="M112" s="36"/>
      <c r="N112" s="34" t="s">
        <v>599</v>
      </c>
      <c r="O112" s="133"/>
      <c r="P112" s="134"/>
      <c r="Q112" s="37"/>
      <c r="R112" s="37"/>
      <c r="S112" s="37"/>
      <c r="T112" s="37"/>
      <c r="U112" s="37"/>
      <c r="V112" s="37"/>
      <c r="W112" s="37"/>
      <c r="X112" s="585"/>
      <c r="Y112" s="585"/>
      <c r="Z112" s="770"/>
      <c r="AA112" s="770"/>
      <c r="AB112" s="770"/>
      <c r="AC112" s="770"/>
      <c r="AD112" s="770"/>
      <c r="AE112" s="770"/>
      <c r="AF112" s="770"/>
      <c r="AG112" s="770"/>
      <c r="AH112" s="770"/>
      <c r="AI112" s="770"/>
      <c r="AJ112" s="770"/>
      <c r="AK112" s="770"/>
      <c r="AL112" s="770"/>
      <c r="AM112" s="770"/>
      <c r="AN112" s="770"/>
      <c r="AO112" s="770"/>
      <c r="AP112" s="770"/>
      <c r="AQ112" s="585"/>
      <c r="AR112" s="90" t="s">
        <v>117</v>
      </c>
      <c r="AS112" s="34" t="s">
        <v>600</v>
      </c>
      <c r="AT112" s="34" t="s">
        <v>185</v>
      </c>
      <c r="AU112" s="34" t="s">
        <v>601</v>
      </c>
      <c r="AW112" s="158" t="s">
        <v>186</v>
      </c>
      <c r="AX112" s="158" t="s">
        <v>91</v>
      </c>
      <c r="AY112" s="158" t="str">
        <f t="shared" si="89"/>
        <v>工业中马园</v>
      </c>
      <c r="AZ112" s="158" t="str">
        <f t="shared" si="90"/>
        <v>工业</v>
      </c>
    </row>
    <row r="113" ht="78.75" customHeight="1" spans="1:52">
      <c r="A113" s="23">
        <f>SUBTOTAL(3,C$7:C113)</f>
        <v>89</v>
      </c>
      <c r="B113" s="55" t="s">
        <v>602</v>
      </c>
      <c r="C113" s="23" t="s">
        <v>562</v>
      </c>
      <c r="D113" s="55" t="s">
        <v>603</v>
      </c>
      <c r="E113" s="35" t="s">
        <v>604</v>
      </c>
      <c r="F113" s="36">
        <v>30000</v>
      </c>
      <c r="G113" s="67">
        <v>500</v>
      </c>
      <c r="H113" s="134"/>
      <c r="I113" s="35">
        <v>600</v>
      </c>
      <c r="J113" s="35">
        <v>1200</v>
      </c>
      <c r="K113" s="35">
        <v>1800</v>
      </c>
      <c r="L113" s="36">
        <v>2500</v>
      </c>
      <c r="M113" s="36"/>
      <c r="N113" s="34" t="s">
        <v>605</v>
      </c>
      <c r="O113" s="133"/>
      <c r="P113" s="134"/>
      <c r="Q113" s="37"/>
      <c r="R113" s="37"/>
      <c r="S113" s="37"/>
      <c r="T113" s="37"/>
      <c r="U113" s="37"/>
      <c r="V113" s="37"/>
      <c r="W113" s="37"/>
      <c r="X113" s="585"/>
      <c r="Y113" s="585"/>
      <c r="Z113" s="770"/>
      <c r="AA113" s="770"/>
      <c r="AB113" s="770"/>
      <c r="AC113" s="770"/>
      <c r="AD113" s="770"/>
      <c r="AE113" s="770"/>
      <c r="AF113" s="770"/>
      <c r="AG113" s="770"/>
      <c r="AH113" s="770"/>
      <c r="AI113" s="770"/>
      <c r="AJ113" s="770"/>
      <c r="AK113" s="770"/>
      <c r="AL113" s="770"/>
      <c r="AM113" s="770"/>
      <c r="AN113" s="770"/>
      <c r="AO113" s="330">
        <v>2500</v>
      </c>
      <c r="AP113" s="770"/>
      <c r="AQ113" s="585"/>
      <c r="AR113" s="90" t="s">
        <v>117</v>
      </c>
      <c r="AS113" s="34" t="s">
        <v>606</v>
      </c>
      <c r="AT113" s="34" t="s">
        <v>185</v>
      </c>
      <c r="AU113" s="34"/>
      <c r="AW113" s="158" t="s">
        <v>186</v>
      </c>
      <c r="AX113" s="158" t="s">
        <v>91</v>
      </c>
      <c r="AY113" s="158" t="str">
        <f t="shared" si="89"/>
        <v>工业中马园</v>
      </c>
      <c r="AZ113" s="158" t="str">
        <f t="shared" si="90"/>
        <v>工业</v>
      </c>
    </row>
    <row r="114" ht="75.95" customHeight="1" spans="1:52">
      <c r="A114" s="23">
        <f>SUBTOTAL(3,C$7:C114)</f>
        <v>90</v>
      </c>
      <c r="B114" s="60" t="s">
        <v>607</v>
      </c>
      <c r="C114" s="23" t="s">
        <v>562</v>
      </c>
      <c r="D114" s="88" t="s">
        <v>608</v>
      </c>
      <c r="E114" s="67" t="s">
        <v>575</v>
      </c>
      <c r="F114" s="67">
        <v>12000</v>
      </c>
      <c r="G114" s="67">
        <v>3000</v>
      </c>
      <c r="H114" s="134"/>
      <c r="I114" s="35">
        <v>500</v>
      </c>
      <c r="J114" s="35">
        <v>2000</v>
      </c>
      <c r="K114" s="35">
        <v>3500</v>
      </c>
      <c r="L114" s="36">
        <v>5000</v>
      </c>
      <c r="M114" s="36"/>
      <c r="N114" s="34" t="s">
        <v>609</v>
      </c>
      <c r="O114" s="133"/>
      <c r="P114" s="134"/>
      <c r="Q114" s="37"/>
      <c r="R114" s="37"/>
      <c r="S114" s="37"/>
      <c r="T114" s="37"/>
      <c r="U114" s="37"/>
      <c r="V114" s="37"/>
      <c r="W114" s="37"/>
      <c r="X114" s="585"/>
      <c r="Y114" s="585"/>
      <c r="Z114" s="770"/>
      <c r="AA114" s="770"/>
      <c r="AB114" s="770"/>
      <c r="AC114" s="770"/>
      <c r="AD114" s="770"/>
      <c r="AE114" s="770"/>
      <c r="AF114" s="770"/>
      <c r="AG114" s="770"/>
      <c r="AH114" s="770"/>
      <c r="AI114" s="770"/>
      <c r="AJ114" s="770"/>
      <c r="AK114" s="770"/>
      <c r="AL114" s="770"/>
      <c r="AM114" s="770"/>
      <c r="AN114" s="770"/>
      <c r="AO114" s="330">
        <v>5000</v>
      </c>
      <c r="AP114" s="330"/>
      <c r="AQ114" s="585"/>
      <c r="AR114" s="90" t="s">
        <v>117</v>
      </c>
      <c r="AS114" s="34" t="s">
        <v>610</v>
      </c>
      <c r="AT114" s="34" t="s">
        <v>185</v>
      </c>
      <c r="AU114" s="91"/>
      <c r="AW114" s="158" t="s">
        <v>186</v>
      </c>
      <c r="AX114" s="158" t="s">
        <v>91</v>
      </c>
      <c r="AY114" s="158" t="str">
        <f t="shared" si="89"/>
        <v>工业中马园</v>
      </c>
      <c r="AZ114" s="158" t="str">
        <f t="shared" si="90"/>
        <v>工业</v>
      </c>
    </row>
    <row r="115" ht="60" customHeight="1" spans="1:52">
      <c r="A115" s="23">
        <f>SUBTOTAL(3,C$7:C115)</f>
        <v>91</v>
      </c>
      <c r="B115" s="922" t="s">
        <v>611</v>
      </c>
      <c r="C115" s="35" t="s">
        <v>562</v>
      </c>
      <c r="D115" s="922" t="s">
        <v>612</v>
      </c>
      <c r="E115" s="35" t="s">
        <v>564</v>
      </c>
      <c r="F115" s="36">
        <v>10000</v>
      </c>
      <c r="G115" s="36">
        <v>4000</v>
      </c>
      <c r="H115" s="134"/>
      <c r="I115" s="67">
        <v>200</v>
      </c>
      <c r="J115" s="67">
        <v>1100</v>
      </c>
      <c r="K115" s="67">
        <v>2000</v>
      </c>
      <c r="L115" s="36">
        <v>3000</v>
      </c>
      <c r="M115" s="36"/>
      <c r="N115" s="123" t="s">
        <v>613</v>
      </c>
      <c r="O115" s="133"/>
      <c r="P115" s="134"/>
      <c r="Q115" s="37"/>
      <c r="R115" s="37"/>
      <c r="S115" s="37"/>
      <c r="T115" s="37"/>
      <c r="U115" s="37"/>
      <c r="V115" s="37"/>
      <c r="W115" s="37"/>
      <c r="X115" s="585"/>
      <c r="Y115" s="585"/>
      <c r="Z115" s="770"/>
      <c r="AA115" s="770"/>
      <c r="AB115" s="770"/>
      <c r="AC115" s="770"/>
      <c r="AD115" s="770"/>
      <c r="AE115" s="770"/>
      <c r="AF115" s="770"/>
      <c r="AG115" s="770"/>
      <c r="AH115" s="770"/>
      <c r="AI115" s="770"/>
      <c r="AJ115" s="770"/>
      <c r="AK115" s="770"/>
      <c r="AL115" s="770"/>
      <c r="AM115" s="770"/>
      <c r="AN115" s="770"/>
      <c r="AO115" s="134">
        <v>1000</v>
      </c>
      <c r="AP115" s="134">
        <v>2000</v>
      </c>
      <c r="AQ115" s="585"/>
      <c r="AR115" s="90" t="s">
        <v>117</v>
      </c>
      <c r="AS115" s="928" t="s">
        <v>614</v>
      </c>
      <c r="AT115" s="34" t="s">
        <v>185</v>
      </c>
      <c r="AU115" s="270" t="s">
        <v>615</v>
      </c>
      <c r="AW115" s="158" t="s">
        <v>186</v>
      </c>
      <c r="AX115" s="158" t="s">
        <v>91</v>
      </c>
      <c r="AY115" s="158" t="str">
        <f t="shared" si="89"/>
        <v>工业中马园</v>
      </c>
      <c r="AZ115" s="158" t="str">
        <f t="shared" si="90"/>
        <v>工业</v>
      </c>
    </row>
    <row r="116" ht="81" customHeight="1" spans="1:52">
      <c r="A116" s="23">
        <f>SUBTOTAL(3,C$7:C116)</f>
        <v>92</v>
      </c>
      <c r="B116" s="60" t="s">
        <v>616</v>
      </c>
      <c r="C116" s="23" t="s">
        <v>562</v>
      </c>
      <c r="D116" s="88" t="s">
        <v>617</v>
      </c>
      <c r="E116" s="35" t="s">
        <v>588</v>
      </c>
      <c r="F116" s="67">
        <v>10600</v>
      </c>
      <c r="G116" s="67">
        <v>3700</v>
      </c>
      <c r="H116" s="134"/>
      <c r="I116" s="67">
        <v>1000</v>
      </c>
      <c r="J116" s="67">
        <v>2000</v>
      </c>
      <c r="K116" s="67">
        <v>3500</v>
      </c>
      <c r="L116" s="67">
        <v>5000</v>
      </c>
      <c r="M116" s="67"/>
      <c r="N116" s="123" t="s">
        <v>618</v>
      </c>
      <c r="O116" s="133"/>
      <c r="P116" s="134"/>
      <c r="Q116" s="37"/>
      <c r="R116" s="37"/>
      <c r="S116" s="37"/>
      <c r="T116" s="37"/>
      <c r="U116" s="37"/>
      <c r="V116" s="37"/>
      <c r="W116" s="37"/>
      <c r="X116" s="585"/>
      <c r="Y116" s="585"/>
      <c r="Z116" s="770"/>
      <c r="AA116" s="770"/>
      <c r="AB116" s="770"/>
      <c r="AC116" s="770"/>
      <c r="AD116" s="770"/>
      <c r="AE116" s="770"/>
      <c r="AF116" s="770"/>
      <c r="AG116" s="770"/>
      <c r="AH116" s="770"/>
      <c r="AI116" s="770"/>
      <c r="AJ116" s="770"/>
      <c r="AK116" s="770"/>
      <c r="AL116" s="770"/>
      <c r="AM116" s="770"/>
      <c r="AN116" s="770"/>
      <c r="AO116" s="770"/>
      <c r="AP116" s="770"/>
      <c r="AQ116" s="585"/>
      <c r="AR116" s="90" t="s">
        <v>117</v>
      </c>
      <c r="AS116" s="123" t="s">
        <v>619</v>
      </c>
      <c r="AT116" s="34" t="s">
        <v>185</v>
      </c>
      <c r="AU116" s="34" t="s">
        <v>620</v>
      </c>
      <c r="AW116" s="158" t="s">
        <v>186</v>
      </c>
      <c r="AX116" s="158" t="s">
        <v>91</v>
      </c>
      <c r="AY116" s="158" t="str">
        <f t="shared" si="89"/>
        <v>工业中马园</v>
      </c>
      <c r="AZ116" s="158" t="str">
        <f t="shared" si="90"/>
        <v>工业</v>
      </c>
    </row>
    <row r="117" ht="15.95" hidden="1" customHeight="1" spans="1:47">
      <c r="A117" s="551"/>
      <c r="B117" s="908" t="str">
        <f>"高新区（"&amp;SUBTOTAL(3,C118:C119)&amp;"个）"</f>
        <v>高新区（2个）</v>
      </c>
      <c r="C117" s="909"/>
      <c r="D117" s="910"/>
      <c r="E117" s="754"/>
      <c r="F117" s="134">
        <f t="shared" ref="F117:L117" si="91">SUBTOTAL(9,F118:F119)</f>
        <v>49000</v>
      </c>
      <c r="G117" s="134">
        <f t="shared" si="91"/>
        <v>7343</v>
      </c>
      <c r="H117" s="134"/>
      <c r="I117" s="134">
        <f t="shared" si="91"/>
        <v>600</v>
      </c>
      <c r="J117" s="134">
        <f t="shared" si="91"/>
        <v>2400</v>
      </c>
      <c r="K117" s="134">
        <f t="shared" si="91"/>
        <v>4300</v>
      </c>
      <c r="L117" s="134">
        <f t="shared" si="91"/>
        <v>6000</v>
      </c>
      <c r="M117" s="134"/>
      <c r="N117" s="134"/>
      <c r="O117" s="133"/>
      <c r="P117" s="134"/>
      <c r="Q117" s="37"/>
      <c r="R117" s="37"/>
      <c r="S117" s="37"/>
      <c r="T117" s="37"/>
      <c r="U117" s="37"/>
      <c r="V117" s="37"/>
      <c r="W117" s="37"/>
      <c r="X117" s="585"/>
      <c r="Y117" s="585"/>
      <c r="Z117" s="134">
        <f t="shared" ref="Z117:AP117" si="92">SUBTOTAL(9,Z118:Z119)</f>
        <v>0</v>
      </c>
      <c r="AA117" s="134">
        <f t="shared" si="92"/>
        <v>0</v>
      </c>
      <c r="AB117" s="134">
        <f t="shared" si="92"/>
        <v>0</v>
      </c>
      <c r="AC117" s="134">
        <f t="shared" si="92"/>
        <v>0</v>
      </c>
      <c r="AD117" s="134">
        <f t="shared" si="92"/>
        <v>0</v>
      </c>
      <c r="AE117" s="134">
        <f t="shared" si="92"/>
        <v>0</v>
      </c>
      <c r="AF117" s="134">
        <f t="shared" si="92"/>
        <v>0</v>
      </c>
      <c r="AG117" s="134">
        <f t="shared" si="92"/>
        <v>0</v>
      </c>
      <c r="AH117" s="134">
        <f t="shared" si="92"/>
        <v>0</v>
      </c>
      <c r="AI117" s="134">
        <f t="shared" si="92"/>
        <v>0</v>
      </c>
      <c r="AJ117" s="134">
        <f t="shared" si="92"/>
        <v>0</v>
      </c>
      <c r="AK117" s="134">
        <f t="shared" si="92"/>
        <v>0</v>
      </c>
      <c r="AL117" s="134">
        <f t="shared" si="92"/>
        <v>0</v>
      </c>
      <c r="AM117" s="134">
        <f t="shared" si="92"/>
        <v>0</v>
      </c>
      <c r="AN117" s="134">
        <f t="shared" si="92"/>
        <v>0</v>
      </c>
      <c r="AO117" s="134">
        <f t="shared" si="92"/>
        <v>7343</v>
      </c>
      <c r="AP117" s="134">
        <f t="shared" si="92"/>
        <v>0</v>
      </c>
      <c r="AQ117" s="585"/>
      <c r="AR117" s="577"/>
      <c r="AS117" s="774"/>
      <c r="AT117" s="775"/>
      <c r="AU117" s="171"/>
    </row>
    <row r="118" ht="62.25" customHeight="1" spans="1:52">
      <c r="A118" s="23">
        <f>SUBTOTAL(3,C$7:C118)</f>
        <v>93</v>
      </c>
      <c r="B118" s="55" t="s">
        <v>621</v>
      </c>
      <c r="C118" s="67" t="s">
        <v>562</v>
      </c>
      <c r="D118" s="60" t="s">
        <v>622</v>
      </c>
      <c r="E118" s="35" t="s">
        <v>575</v>
      </c>
      <c r="F118" s="35">
        <v>29000</v>
      </c>
      <c r="G118" s="67">
        <v>1000</v>
      </c>
      <c r="H118" s="134"/>
      <c r="I118" s="36">
        <v>500</v>
      </c>
      <c r="J118" s="36">
        <v>2000</v>
      </c>
      <c r="K118" s="36">
        <v>3500</v>
      </c>
      <c r="L118" s="67">
        <v>5000</v>
      </c>
      <c r="M118" s="67"/>
      <c r="N118" s="112" t="s">
        <v>623</v>
      </c>
      <c r="O118" s="133"/>
      <c r="P118" s="134"/>
      <c r="Q118" s="37"/>
      <c r="R118" s="37"/>
      <c r="S118" s="37"/>
      <c r="T118" s="37"/>
      <c r="U118" s="37"/>
      <c r="V118" s="37"/>
      <c r="W118" s="37"/>
      <c r="X118" s="585"/>
      <c r="Y118" s="585"/>
      <c r="Z118" s="770"/>
      <c r="AA118" s="770"/>
      <c r="AB118" s="770"/>
      <c r="AC118" s="770"/>
      <c r="AD118" s="770"/>
      <c r="AE118" s="770"/>
      <c r="AF118" s="770"/>
      <c r="AG118" s="770"/>
      <c r="AH118" s="770"/>
      <c r="AI118" s="770"/>
      <c r="AJ118" s="770"/>
      <c r="AK118" s="770"/>
      <c r="AL118" s="770"/>
      <c r="AM118" s="770"/>
      <c r="AN118" s="770"/>
      <c r="AO118" s="134">
        <v>1000</v>
      </c>
      <c r="AP118" s="770"/>
      <c r="AQ118" s="585"/>
      <c r="AR118" s="90" t="s">
        <v>117</v>
      </c>
      <c r="AS118" s="34" t="s">
        <v>624</v>
      </c>
      <c r="AT118" s="34" t="s">
        <v>240</v>
      </c>
      <c r="AU118" s="91"/>
      <c r="AW118" s="158" t="s">
        <v>241</v>
      </c>
      <c r="AX118" s="158" t="s">
        <v>91</v>
      </c>
      <c r="AY118" s="158" t="str">
        <f t="shared" ref="AY118:AY121" si="93">AX118&amp;AW118</f>
        <v>工业高新区</v>
      </c>
      <c r="AZ118" s="158" t="str">
        <f t="shared" ref="AZ118:AZ121" si="94">AX118</f>
        <v>工业</v>
      </c>
    </row>
    <row r="119" ht="65.25" customHeight="1" spans="1:52">
      <c r="A119" s="23">
        <f>SUBTOTAL(3,C$7:C119)</f>
        <v>94</v>
      </c>
      <c r="B119" s="55" t="s">
        <v>625</v>
      </c>
      <c r="C119" s="67" t="s">
        <v>562</v>
      </c>
      <c r="D119" s="60" t="s">
        <v>626</v>
      </c>
      <c r="E119" s="35" t="s">
        <v>627</v>
      </c>
      <c r="F119" s="35">
        <v>20000</v>
      </c>
      <c r="G119" s="67">
        <v>6343</v>
      </c>
      <c r="H119" s="134"/>
      <c r="I119" s="36">
        <v>100</v>
      </c>
      <c r="J119" s="36">
        <v>400</v>
      </c>
      <c r="K119" s="36">
        <v>800</v>
      </c>
      <c r="L119" s="67">
        <v>1000</v>
      </c>
      <c r="M119" s="67"/>
      <c r="N119" s="112" t="s">
        <v>623</v>
      </c>
      <c r="O119" s="133"/>
      <c r="P119" s="134"/>
      <c r="Q119" s="37"/>
      <c r="R119" s="37"/>
      <c r="S119" s="37"/>
      <c r="T119" s="37"/>
      <c r="U119" s="37"/>
      <c r="V119" s="37"/>
      <c r="W119" s="37"/>
      <c r="X119" s="585"/>
      <c r="Y119" s="585"/>
      <c r="Z119" s="770"/>
      <c r="AA119" s="770"/>
      <c r="AB119" s="770"/>
      <c r="AC119" s="770"/>
      <c r="AD119" s="770"/>
      <c r="AE119" s="770"/>
      <c r="AF119" s="770"/>
      <c r="AG119" s="770"/>
      <c r="AH119" s="770"/>
      <c r="AI119" s="770"/>
      <c r="AJ119" s="770"/>
      <c r="AK119" s="770"/>
      <c r="AL119" s="770"/>
      <c r="AM119" s="770"/>
      <c r="AN119" s="770"/>
      <c r="AO119" s="134">
        <v>6343</v>
      </c>
      <c r="AP119" s="770"/>
      <c r="AQ119" s="585"/>
      <c r="AR119" s="90" t="s">
        <v>628</v>
      </c>
      <c r="AS119" s="34" t="s">
        <v>629</v>
      </c>
      <c r="AT119" s="34" t="s">
        <v>240</v>
      </c>
      <c r="AU119" s="91"/>
      <c r="AW119" s="158" t="s">
        <v>241</v>
      </c>
      <c r="AX119" s="158" t="s">
        <v>91</v>
      </c>
      <c r="AY119" s="158" t="str">
        <f t="shared" si="93"/>
        <v>工业高新区</v>
      </c>
      <c r="AZ119" s="158" t="str">
        <f t="shared" si="94"/>
        <v>工业</v>
      </c>
    </row>
    <row r="120" ht="15.95" hidden="1" customHeight="1" spans="1:47">
      <c r="A120" s="551"/>
      <c r="B120" s="908" t="str">
        <f>"北部湾华侨投资区（"&amp;SUBTOTAL(3,C121:C121)&amp;"个）"</f>
        <v>北部湾华侨投资区（1个）</v>
      </c>
      <c r="C120" s="909"/>
      <c r="D120" s="910"/>
      <c r="E120" s="551"/>
      <c r="F120" s="134">
        <f t="shared" ref="F120:M120" si="95">SUBTOTAL(9,F121:F121)</f>
        <v>40000</v>
      </c>
      <c r="G120" s="134">
        <f t="shared" si="95"/>
        <v>8016</v>
      </c>
      <c r="H120" s="134"/>
      <c r="I120" s="134">
        <f t="shared" si="95"/>
        <v>1500</v>
      </c>
      <c r="J120" s="134">
        <f t="shared" si="95"/>
        <v>4500</v>
      </c>
      <c r="K120" s="134">
        <f t="shared" si="95"/>
        <v>8000</v>
      </c>
      <c r="L120" s="134">
        <f t="shared" si="95"/>
        <v>10000</v>
      </c>
      <c r="M120" s="134">
        <f t="shared" si="95"/>
        <v>0</v>
      </c>
      <c r="N120" s="134"/>
      <c r="O120" s="133"/>
      <c r="P120" s="134"/>
      <c r="Q120" s="37"/>
      <c r="R120" s="37"/>
      <c r="S120" s="37"/>
      <c r="T120" s="37"/>
      <c r="U120" s="37"/>
      <c r="V120" s="37"/>
      <c r="W120" s="37"/>
      <c r="X120" s="585"/>
      <c r="Y120" s="585"/>
      <c r="Z120" s="134">
        <f t="shared" ref="Z120:AP120" si="96">SUBTOTAL(9,Z121:Z121)</f>
        <v>0</v>
      </c>
      <c r="AA120" s="134">
        <f t="shared" si="96"/>
        <v>0</v>
      </c>
      <c r="AB120" s="134">
        <f t="shared" si="96"/>
        <v>0</v>
      </c>
      <c r="AC120" s="134">
        <f t="shared" si="96"/>
        <v>0</v>
      </c>
      <c r="AD120" s="134">
        <f t="shared" si="96"/>
        <v>0</v>
      </c>
      <c r="AE120" s="134">
        <f t="shared" si="96"/>
        <v>0</v>
      </c>
      <c r="AF120" s="134">
        <f t="shared" si="96"/>
        <v>0</v>
      </c>
      <c r="AG120" s="134">
        <f t="shared" si="96"/>
        <v>0</v>
      </c>
      <c r="AH120" s="134">
        <f t="shared" si="96"/>
        <v>0</v>
      </c>
      <c r="AI120" s="134">
        <f t="shared" si="96"/>
        <v>0</v>
      </c>
      <c r="AJ120" s="134">
        <f t="shared" si="96"/>
        <v>0</v>
      </c>
      <c r="AK120" s="134">
        <f t="shared" si="96"/>
        <v>0</v>
      </c>
      <c r="AL120" s="134">
        <f t="shared" si="96"/>
        <v>0</v>
      </c>
      <c r="AM120" s="134">
        <f t="shared" si="96"/>
        <v>0</v>
      </c>
      <c r="AN120" s="134">
        <f t="shared" si="96"/>
        <v>0</v>
      </c>
      <c r="AO120" s="134">
        <f t="shared" si="96"/>
        <v>0</v>
      </c>
      <c r="AP120" s="134">
        <f t="shared" si="96"/>
        <v>0</v>
      </c>
      <c r="AQ120" s="585"/>
      <c r="AR120" s="90"/>
      <c r="AS120" s="591"/>
      <c r="AT120" s="134"/>
      <c r="AU120" s="91"/>
    </row>
    <row r="121" ht="81.95" customHeight="1" spans="1:52">
      <c r="A121" s="23">
        <f>SUBTOTAL(3,C$7:C121)</f>
        <v>95</v>
      </c>
      <c r="B121" s="55" t="s">
        <v>630</v>
      </c>
      <c r="C121" s="35" t="s">
        <v>562</v>
      </c>
      <c r="D121" s="88" t="s">
        <v>631</v>
      </c>
      <c r="E121" s="35" t="s">
        <v>632</v>
      </c>
      <c r="F121" s="38">
        <v>40000</v>
      </c>
      <c r="G121" s="38">
        <v>8016</v>
      </c>
      <c r="H121" s="134"/>
      <c r="I121" s="38">
        <v>1500</v>
      </c>
      <c r="J121" s="38">
        <v>4500</v>
      </c>
      <c r="K121" s="38">
        <v>8000</v>
      </c>
      <c r="L121" s="38">
        <v>10000</v>
      </c>
      <c r="M121" s="38"/>
      <c r="N121" s="123" t="s">
        <v>633</v>
      </c>
      <c r="O121" s="133"/>
      <c r="P121" s="134"/>
      <c r="Q121" s="37"/>
      <c r="R121" s="37"/>
      <c r="S121" s="37"/>
      <c r="T121" s="37"/>
      <c r="U121" s="37"/>
      <c r="V121" s="37"/>
      <c r="W121" s="37"/>
      <c r="X121" s="585"/>
      <c r="Y121" s="585"/>
      <c r="Z121" s="770"/>
      <c r="AA121" s="770"/>
      <c r="AB121" s="770"/>
      <c r="AC121" s="770"/>
      <c r="AD121" s="770"/>
      <c r="AE121" s="770"/>
      <c r="AF121" s="770"/>
      <c r="AG121" s="770"/>
      <c r="AH121" s="770"/>
      <c r="AI121" s="770"/>
      <c r="AJ121" s="770"/>
      <c r="AK121" s="770"/>
      <c r="AL121" s="770"/>
      <c r="AM121" s="770"/>
      <c r="AN121" s="770"/>
      <c r="AO121" s="770"/>
      <c r="AP121" s="770"/>
      <c r="AQ121" s="585"/>
      <c r="AR121" s="90" t="s">
        <v>117</v>
      </c>
      <c r="AS121" s="595" t="s">
        <v>634</v>
      </c>
      <c r="AT121" s="131" t="s">
        <v>504</v>
      </c>
      <c r="AU121" s="91"/>
      <c r="AW121" s="158" t="s">
        <v>505</v>
      </c>
      <c r="AX121" s="158" t="s">
        <v>91</v>
      </c>
      <c r="AY121" s="158" t="str">
        <f t="shared" si="93"/>
        <v>工业华侨投资区</v>
      </c>
      <c r="AZ121" s="158" t="str">
        <f t="shared" si="94"/>
        <v>工业</v>
      </c>
    </row>
    <row r="122" ht="15.95" hidden="1" customHeight="1" spans="1:47">
      <c r="A122" s="551"/>
      <c r="B122" s="908" t="str">
        <f>"灵山县（"&amp;SUBTOTAL(3,C123:C123)&amp;"个）"</f>
        <v>灵山县（1个）</v>
      </c>
      <c r="C122" s="909"/>
      <c r="D122" s="910"/>
      <c r="E122" s="551"/>
      <c r="F122" s="134">
        <f t="shared" ref="F122:M122" si="97">SUBTOTAL(9,F123:F123)</f>
        <v>100000</v>
      </c>
      <c r="G122" s="134">
        <f t="shared" si="97"/>
        <v>54950</v>
      </c>
      <c r="H122" s="134"/>
      <c r="I122" s="134">
        <f t="shared" si="97"/>
        <v>5500</v>
      </c>
      <c r="J122" s="134">
        <f t="shared" si="97"/>
        <v>10000</v>
      </c>
      <c r="K122" s="134">
        <f t="shared" si="97"/>
        <v>18000</v>
      </c>
      <c r="L122" s="134">
        <f t="shared" si="97"/>
        <v>30000</v>
      </c>
      <c r="M122" s="134">
        <f t="shared" si="97"/>
        <v>0</v>
      </c>
      <c r="N122" s="134"/>
      <c r="O122" s="133"/>
      <c r="P122" s="134"/>
      <c r="Q122" s="37"/>
      <c r="R122" s="37"/>
      <c r="S122" s="37"/>
      <c r="T122" s="37"/>
      <c r="U122" s="37"/>
      <c r="V122" s="37"/>
      <c r="W122" s="37"/>
      <c r="X122" s="585"/>
      <c r="Y122" s="585"/>
      <c r="Z122" s="134">
        <f t="shared" ref="Z122:AP122" si="98">SUBTOTAL(9,Z123:Z123)</f>
        <v>0</v>
      </c>
      <c r="AA122" s="134">
        <f t="shared" si="98"/>
        <v>0</v>
      </c>
      <c r="AB122" s="134">
        <f t="shared" si="98"/>
        <v>0</v>
      </c>
      <c r="AC122" s="134">
        <f t="shared" si="98"/>
        <v>0</v>
      </c>
      <c r="AD122" s="134">
        <f t="shared" si="98"/>
        <v>0</v>
      </c>
      <c r="AE122" s="134">
        <f t="shared" si="98"/>
        <v>0</v>
      </c>
      <c r="AF122" s="134">
        <f t="shared" si="98"/>
        <v>0</v>
      </c>
      <c r="AG122" s="134">
        <f t="shared" si="98"/>
        <v>0</v>
      </c>
      <c r="AH122" s="134">
        <f t="shared" si="98"/>
        <v>0</v>
      </c>
      <c r="AI122" s="134">
        <f t="shared" si="98"/>
        <v>0</v>
      </c>
      <c r="AJ122" s="134">
        <f t="shared" si="98"/>
        <v>0</v>
      </c>
      <c r="AK122" s="134">
        <f t="shared" si="98"/>
        <v>0</v>
      </c>
      <c r="AL122" s="134">
        <f t="shared" si="98"/>
        <v>0</v>
      </c>
      <c r="AM122" s="134">
        <f t="shared" si="98"/>
        <v>0</v>
      </c>
      <c r="AN122" s="134">
        <f t="shared" si="98"/>
        <v>0</v>
      </c>
      <c r="AO122" s="134">
        <f t="shared" si="98"/>
        <v>0</v>
      </c>
      <c r="AP122" s="134">
        <f t="shared" si="98"/>
        <v>0</v>
      </c>
      <c r="AQ122" s="585"/>
      <c r="AR122" s="577"/>
      <c r="AS122" s="774"/>
      <c r="AT122" s="775"/>
      <c r="AU122" s="171"/>
    </row>
    <row r="123" ht="86.25" customHeight="1" spans="1:52">
      <c r="A123" s="23">
        <f>SUBTOTAL(3,C$7:C123)</f>
        <v>96</v>
      </c>
      <c r="B123" s="55" t="s">
        <v>635</v>
      </c>
      <c r="C123" s="35" t="s">
        <v>562</v>
      </c>
      <c r="D123" s="55" t="s">
        <v>636</v>
      </c>
      <c r="E123" s="35" t="s">
        <v>575</v>
      </c>
      <c r="F123" s="36">
        <v>100000</v>
      </c>
      <c r="G123" s="36">
        <v>54950</v>
      </c>
      <c r="H123" s="134"/>
      <c r="I123" s="35">
        <v>5500</v>
      </c>
      <c r="J123" s="35">
        <v>10000</v>
      </c>
      <c r="K123" s="35">
        <v>18000</v>
      </c>
      <c r="L123" s="36">
        <v>30000</v>
      </c>
      <c r="M123" s="36"/>
      <c r="N123" s="34" t="s">
        <v>637</v>
      </c>
      <c r="O123" s="133"/>
      <c r="P123" s="134"/>
      <c r="Q123" s="37"/>
      <c r="R123" s="37"/>
      <c r="S123" s="37"/>
      <c r="T123" s="37"/>
      <c r="U123" s="37"/>
      <c r="V123" s="37"/>
      <c r="W123" s="37"/>
      <c r="X123" s="585"/>
      <c r="Y123" s="585"/>
      <c r="Z123" s="770"/>
      <c r="AA123" s="770"/>
      <c r="AB123" s="770"/>
      <c r="AC123" s="770"/>
      <c r="AD123" s="770"/>
      <c r="AE123" s="770"/>
      <c r="AF123" s="770"/>
      <c r="AG123" s="770"/>
      <c r="AH123" s="770"/>
      <c r="AI123" s="770"/>
      <c r="AJ123" s="770"/>
      <c r="AK123" s="770"/>
      <c r="AL123" s="770"/>
      <c r="AM123" s="770"/>
      <c r="AN123" s="770"/>
      <c r="AO123" s="770"/>
      <c r="AP123" s="770"/>
      <c r="AQ123" s="585"/>
      <c r="AR123" s="90" t="s">
        <v>638</v>
      </c>
      <c r="AS123" s="34" t="s">
        <v>639</v>
      </c>
      <c r="AT123" s="34" t="s">
        <v>269</v>
      </c>
      <c r="AU123" s="91"/>
      <c r="AW123" s="158" t="s">
        <v>270</v>
      </c>
      <c r="AX123" s="158" t="s">
        <v>91</v>
      </c>
      <c r="AY123" s="158" t="str">
        <f t="shared" ref="AY123:AY129" si="99">AX123&amp;AW123</f>
        <v>工业灵山县</v>
      </c>
      <c r="AZ123" s="158" t="str">
        <f t="shared" ref="AZ123:AZ129" si="100">AX123</f>
        <v>工业</v>
      </c>
    </row>
    <row r="124" ht="15.95" hidden="1" customHeight="1" spans="1:47">
      <c r="A124" s="551"/>
      <c r="B124" s="908" t="str">
        <f>"浦北县（"&amp;SUBTOTAL(3,C125:C129)&amp;"个）"</f>
        <v>浦北县（5个）</v>
      </c>
      <c r="C124" s="909"/>
      <c r="D124" s="910"/>
      <c r="E124" s="551"/>
      <c r="F124" s="134">
        <f t="shared" ref="F124:M124" si="101">SUBTOTAL(9,F125:F129)</f>
        <v>59758</v>
      </c>
      <c r="G124" s="134">
        <f t="shared" si="101"/>
        <v>10900</v>
      </c>
      <c r="H124" s="134"/>
      <c r="I124" s="134">
        <f t="shared" si="101"/>
        <v>5400</v>
      </c>
      <c r="J124" s="134">
        <f t="shared" si="101"/>
        <v>11900</v>
      </c>
      <c r="K124" s="134">
        <f t="shared" si="101"/>
        <v>19900</v>
      </c>
      <c r="L124" s="134">
        <f t="shared" si="101"/>
        <v>26000</v>
      </c>
      <c r="M124" s="134">
        <f t="shared" si="101"/>
        <v>0</v>
      </c>
      <c r="N124" s="134"/>
      <c r="O124" s="133"/>
      <c r="P124" s="134"/>
      <c r="Q124" s="37"/>
      <c r="R124" s="37"/>
      <c r="S124" s="37"/>
      <c r="T124" s="37"/>
      <c r="U124" s="37"/>
      <c r="V124" s="37"/>
      <c r="W124" s="37"/>
      <c r="X124" s="585"/>
      <c r="Y124" s="585"/>
      <c r="Z124" s="134">
        <f t="shared" ref="Z124:AP124" si="102">SUBTOTAL(9,Z125:Z129)</f>
        <v>0</v>
      </c>
      <c r="AA124" s="134">
        <f t="shared" si="102"/>
        <v>0</v>
      </c>
      <c r="AB124" s="134">
        <f t="shared" si="102"/>
        <v>0</v>
      </c>
      <c r="AC124" s="134">
        <f t="shared" si="102"/>
        <v>0</v>
      </c>
      <c r="AD124" s="134">
        <f t="shared" si="102"/>
        <v>0</v>
      </c>
      <c r="AE124" s="134">
        <f t="shared" si="102"/>
        <v>0</v>
      </c>
      <c r="AF124" s="134">
        <f t="shared" si="102"/>
        <v>0</v>
      </c>
      <c r="AG124" s="134">
        <f t="shared" si="102"/>
        <v>0</v>
      </c>
      <c r="AH124" s="134">
        <f t="shared" si="102"/>
        <v>0</v>
      </c>
      <c r="AI124" s="134">
        <f t="shared" si="102"/>
        <v>0</v>
      </c>
      <c r="AJ124" s="134">
        <f t="shared" si="102"/>
        <v>0</v>
      </c>
      <c r="AK124" s="134">
        <f t="shared" si="102"/>
        <v>0</v>
      </c>
      <c r="AL124" s="134">
        <f t="shared" si="102"/>
        <v>0</v>
      </c>
      <c r="AM124" s="134">
        <f t="shared" si="102"/>
        <v>0</v>
      </c>
      <c r="AN124" s="134">
        <f t="shared" si="102"/>
        <v>0</v>
      </c>
      <c r="AO124" s="134">
        <f t="shared" si="102"/>
        <v>0</v>
      </c>
      <c r="AP124" s="134">
        <f t="shared" si="102"/>
        <v>0</v>
      </c>
      <c r="AQ124" s="585"/>
      <c r="AR124" s="90"/>
      <c r="AS124" s="591"/>
      <c r="AT124" s="134"/>
      <c r="AU124" s="91"/>
    </row>
    <row r="125" ht="96.75" customHeight="1" spans="1:52">
      <c r="A125" s="23">
        <f>SUBTOTAL(3,C$7:C125)</f>
        <v>97</v>
      </c>
      <c r="B125" s="55" t="s">
        <v>640</v>
      </c>
      <c r="C125" s="35" t="s">
        <v>562</v>
      </c>
      <c r="D125" s="666" t="s">
        <v>641</v>
      </c>
      <c r="E125" s="35" t="s">
        <v>575</v>
      </c>
      <c r="F125" s="35">
        <v>30000</v>
      </c>
      <c r="G125" s="560">
        <v>6000</v>
      </c>
      <c r="H125" s="134"/>
      <c r="I125" s="67">
        <v>3000</v>
      </c>
      <c r="J125" s="67">
        <v>6500</v>
      </c>
      <c r="K125" s="67">
        <v>12000</v>
      </c>
      <c r="L125" s="560">
        <v>15000</v>
      </c>
      <c r="M125" s="560"/>
      <c r="N125" s="123" t="s">
        <v>642</v>
      </c>
      <c r="O125" s="133"/>
      <c r="P125" s="134"/>
      <c r="Q125" s="37"/>
      <c r="R125" s="37"/>
      <c r="S125" s="37"/>
      <c r="T125" s="37"/>
      <c r="U125" s="37"/>
      <c r="V125" s="37"/>
      <c r="W125" s="37"/>
      <c r="X125" s="585"/>
      <c r="Y125" s="585"/>
      <c r="Z125" s="770"/>
      <c r="AA125" s="770"/>
      <c r="AB125" s="770"/>
      <c r="AC125" s="770"/>
      <c r="AD125" s="770"/>
      <c r="AE125" s="770"/>
      <c r="AF125" s="770"/>
      <c r="AG125" s="770"/>
      <c r="AH125" s="770"/>
      <c r="AI125" s="770"/>
      <c r="AJ125" s="770"/>
      <c r="AK125" s="770"/>
      <c r="AL125" s="770"/>
      <c r="AM125" s="770"/>
      <c r="AN125" s="770"/>
      <c r="AO125" s="770"/>
      <c r="AP125" s="770"/>
      <c r="AQ125" s="585"/>
      <c r="AR125" s="90" t="s">
        <v>117</v>
      </c>
      <c r="AS125" s="580" t="s">
        <v>643</v>
      </c>
      <c r="AT125" s="34" t="s">
        <v>317</v>
      </c>
      <c r="AU125" s="91"/>
      <c r="AW125" s="158" t="s">
        <v>318</v>
      </c>
      <c r="AX125" s="158" t="s">
        <v>91</v>
      </c>
      <c r="AY125" s="158" t="str">
        <f t="shared" si="99"/>
        <v>工业浦北县</v>
      </c>
      <c r="AZ125" s="158" t="str">
        <f t="shared" si="100"/>
        <v>工业</v>
      </c>
    </row>
    <row r="126" ht="60" customHeight="1" spans="1:52">
      <c r="A126" s="23">
        <f>SUBTOTAL(3,C$7:C126)</f>
        <v>98</v>
      </c>
      <c r="B126" s="561" t="s">
        <v>644</v>
      </c>
      <c r="C126" s="35" t="s">
        <v>562</v>
      </c>
      <c r="D126" s="667" t="s">
        <v>645</v>
      </c>
      <c r="E126" s="35" t="s">
        <v>575</v>
      </c>
      <c r="F126" s="35">
        <v>12758</v>
      </c>
      <c r="G126" s="560">
        <v>2500</v>
      </c>
      <c r="H126" s="134"/>
      <c r="I126" s="67">
        <v>1000</v>
      </c>
      <c r="J126" s="67">
        <v>2500</v>
      </c>
      <c r="K126" s="67">
        <v>3500</v>
      </c>
      <c r="L126" s="560">
        <v>5000</v>
      </c>
      <c r="M126" s="560"/>
      <c r="N126" s="123" t="s">
        <v>646</v>
      </c>
      <c r="O126" s="133"/>
      <c r="P126" s="134"/>
      <c r="Q126" s="37"/>
      <c r="R126" s="37"/>
      <c r="S126" s="37"/>
      <c r="T126" s="37"/>
      <c r="U126" s="37"/>
      <c r="V126" s="37"/>
      <c r="W126" s="37"/>
      <c r="X126" s="585"/>
      <c r="Y126" s="585"/>
      <c r="Z126" s="770"/>
      <c r="AA126" s="770"/>
      <c r="AB126" s="770"/>
      <c r="AC126" s="770"/>
      <c r="AD126" s="770"/>
      <c r="AE126" s="770"/>
      <c r="AF126" s="770"/>
      <c r="AG126" s="770"/>
      <c r="AH126" s="770"/>
      <c r="AI126" s="770"/>
      <c r="AJ126" s="770"/>
      <c r="AK126" s="770"/>
      <c r="AL126" s="770"/>
      <c r="AM126" s="770"/>
      <c r="AN126" s="770"/>
      <c r="AO126" s="770"/>
      <c r="AP126" s="770"/>
      <c r="AQ126" s="585"/>
      <c r="AR126" s="90" t="s">
        <v>117</v>
      </c>
      <c r="AS126" s="123" t="s">
        <v>647</v>
      </c>
      <c r="AT126" s="34" t="s">
        <v>317</v>
      </c>
      <c r="AU126" s="91"/>
      <c r="AW126" s="158" t="s">
        <v>318</v>
      </c>
      <c r="AX126" s="158" t="s">
        <v>91</v>
      </c>
      <c r="AY126" s="158" t="str">
        <f t="shared" si="99"/>
        <v>工业浦北县</v>
      </c>
      <c r="AZ126" s="158" t="str">
        <f t="shared" si="100"/>
        <v>工业</v>
      </c>
    </row>
    <row r="127" ht="60" customHeight="1" spans="1:52">
      <c r="A127" s="23">
        <f>SUBTOTAL(3,C$7:C127)</f>
        <v>99</v>
      </c>
      <c r="B127" s="668" t="s">
        <v>648</v>
      </c>
      <c r="C127" s="35" t="s">
        <v>562</v>
      </c>
      <c r="D127" s="232" t="s">
        <v>649</v>
      </c>
      <c r="E127" s="35" t="s">
        <v>575</v>
      </c>
      <c r="F127" s="35">
        <v>7000</v>
      </c>
      <c r="G127" s="35">
        <v>1200</v>
      </c>
      <c r="H127" s="134"/>
      <c r="I127" s="67">
        <v>500</v>
      </c>
      <c r="J127" s="67">
        <v>1300</v>
      </c>
      <c r="K127" s="67">
        <v>2100</v>
      </c>
      <c r="L127" s="35">
        <v>3000</v>
      </c>
      <c r="M127" s="35"/>
      <c r="N127" s="123" t="s">
        <v>321</v>
      </c>
      <c r="O127" s="133"/>
      <c r="P127" s="134"/>
      <c r="Q127" s="37"/>
      <c r="R127" s="37"/>
      <c r="S127" s="37"/>
      <c r="T127" s="37"/>
      <c r="U127" s="37"/>
      <c r="V127" s="37"/>
      <c r="W127" s="37"/>
      <c r="X127" s="585"/>
      <c r="Y127" s="585"/>
      <c r="Z127" s="770"/>
      <c r="AA127" s="770"/>
      <c r="AB127" s="770"/>
      <c r="AC127" s="770"/>
      <c r="AD127" s="770"/>
      <c r="AE127" s="770"/>
      <c r="AF127" s="770"/>
      <c r="AG127" s="770"/>
      <c r="AH127" s="770"/>
      <c r="AI127" s="770"/>
      <c r="AJ127" s="770"/>
      <c r="AK127" s="770"/>
      <c r="AL127" s="770"/>
      <c r="AM127" s="770"/>
      <c r="AN127" s="770"/>
      <c r="AO127" s="770"/>
      <c r="AP127" s="770"/>
      <c r="AQ127" s="585"/>
      <c r="AR127" s="90" t="s">
        <v>117</v>
      </c>
      <c r="AS127" s="34" t="s">
        <v>650</v>
      </c>
      <c r="AT127" s="34" t="s">
        <v>317</v>
      </c>
      <c r="AU127" s="91"/>
      <c r="AW127" s="158" t="s">
        <v>318</v>
      </c>
      <c r="AX127" s="158" t="s">
        <v>91</v>
      </c>
      <c r="AY127" s="158" t="str">
        <f t="shared" si="99"/>
        <v>工业浦北县</v>
      </c>
      <c r="AZ127" s="158" t="str">
        <f t="shared" si="100"/>
        <v>工业</v>
      </c>
    </row>
    <row r="128" ht="60" customHeight="1" spans="1:52">
      <c r="A128" s="23">
        <f>SUBTOTAL(3,C$7:C128)</f>
        <v>100</v>
      </c>
      <c r="B128" s="561" t="s">
        <v>651</v>
      </c>
      <c r="C128" s="35" t="s">
        <v>562</v>
      </c>
      <c r="D128" s="667" t="s">
        <v>652</v>
      </c>
      <c r="E128" s="35" t="s">
        <v>575</v>
      </c>
      <c r="F128" s="35">
        <v>5000</v>
      </c>
      <c r="G128" s="560">
        <v>200</v>
      </c>
      <c r="H128" s="134"/>
      <c r="I128" s="67">
        <v>600</v>
      </c>
      <c r="J128" s="67">
        <v>1100</v>
      </c>
      <c r="K128" s="67">
        <v>1500</v>
      </c>
      <c r="L128" s="560">
        <v>2000</v>
      </c>
      <c r="M128" s="560"/>
      <c r="N128" s="123" t="s">
        <v>653</v>
      </c>
      <c r="O128" s="133"/>
      <c r="P128" s="134"/>
      <c r="Q128" s="37"/>
      <c r="R128" s="37"/>
      <c r="S128" s="37"/>
      <c r="T128" s="37"/>
      <c r="U128" s="37"/>
      <c r="V128" s="37"/>
      <c r="W128" s="37"/>
      <c r="X128" s="585"/>
      <c r="Y128" s="585"/>
      <c r="Z128" s="770"/>
      <c r="AA128" s="770"/>
      <c r="AB128" s="770"/>
      <c r="AC128" s="770"/>
      <c r="AD128" s="770"/>
      <c r="AE128" s="770"/>
      <c r="AF128" s="770"/>
      <c r="AG128" s="770"/>
      <c r="AH128" s="770"/>
      <c r="AI128" s="770"/>
      <c r="AJ128" s="770"/>
      <c r="AK128" s="770"/>
      <c r="AL128" s="770"/>
      <c r="AM128" s="770"/>
      <c r="AN128" s="770"/>
      <c r="AO128" s="770"/>
      <c r="AP128" s="770"/>
      <c r="AQ128" s="585"/>
      <c r="AR128" s="90" t="s">
        <v>117</v>
      </c>
      <c r="AS128" s="123" t="s">
        <v>654</v>
      </c>
      <c r="AT128" s="34" t="s">
        <v>317</v>
      </c>
      <c r="AU128" s="91"/>
      <c r="AW128" s="158" t="s">
        <v>318</v>
      </c>
      <c r="AX128" s="158" t="s">
        <v>91</v>
      </c>
      <c r="AY128" s="158" t="str">
        <f t="shared" si="99"/>
        <v>工业浦北县</v>
      </c>
      <c r="AZ128" s="158" t="str">
        <f t="shared" si="100"/>
        <v>工业</v>
      </c>
    </row>
    <row r="129" ht="60" customHeight="1" spans="1:52">
      <c r="A129" s="23">
        <f>SUBTOTAL(3,C$11:C129)</f>
        <v>101</v>
      </c>
      <c r="B129" s="55" t="s">
        <v>655</v>
      </c>
      <c r="C129" s="35" t="s">
        <v>562</v>
      </c>
      <c r="D129" s="666" t="s">
        <v>656</v>
      </c>
      <c r="E129" s="35" t="s">
        <v>575</v>
      </c>
      <c r="F129" s="35">
        <v>5000</v>
      </c>
      <c r="G129" s="560">
        <v>1000</v>
      </c>
      <c r="H129" s="134"/>
      <c r="I129" s="67">
        <v>300</v>
      </c>
      <c r="J129" s="67">
        <v>500</v>
      </c>
      <c r="K129" s="67">
        <v>800</v>
      </c>
      <c r="L129" s="560">
        <v>1000</v>
      </c>
      <c r="M129" s="560"/>
      <c r="N129" s="123" t="s">
        <v>657</v>
      </c>
      <c r="O129" s="133"/>
      <c r="P129" s="134"/>
      <c r="Q129" s="37"/>
      <c r="R129" s="37"/>
      <c r="S129" s="37"/>
      <c r="T129" s="37"/>
      <c r="U129" s="37"/>
      <c r="V129" s="37"/>
      <c r="W129" s="37"/>
      <c r="X129" s="585"/>
      <c r="Y129" s="585"/>
      <c r="Z129" s="770"/>
      <c r="AA129" s="770"/>
      <c r="AB129" s="770"/>
      <c r="AC129" s="770"/>
      <c r="AD129" s="770"/>
      <c r="AE129" s="770"/>
      <c r="AF129" s="770"/>
      <c r="AG129" s="770"/>
      <c r="AH129" s="770"/>
      <c r="AI129" s="770"/>
      <c r="AJ129" s="770"/>
      <c r="AK129" s="770"/>
      <c r="AL129" s="770"/>
      <c r="AM129" s="770"/>
      <c r="AN129" s="770"/>
      <c r="AO129" s="770"/>
      <c r="AP129" s="770"/>
      <c r="AQ129" s="585"/>
      <c r="AR129" s="90" t="s">
        <v>117</v>
      </c>
      <c r="AS129" s="123" t="s">
        <v>658</v>
      </c>
      <c r="AT129" s="34" t="s">
        <v>317</v>
      </c>
      <c r="AU129" s="91"/>
      <c r="AW129" s="158" t="s">
        <v>318</v>
      </c>
      <c r="AX129" s="158" t="s">
        <v>91</v>
      </c>
      <c r="AY129" s="158" t="str">
        <f t="shared" si="99"/>
        <v>工业浦北县</v>
      </c>
      <c r="AZ129" s="158" t="str">
        <f t="shared" si="100"/>
        <v>工业</v>
      </c>
    </row>
    <row r="130" ht="15.95" hidden="1" customHeight="1" spans="1:47">
      <c r="A130" s="551"/>
      <c r="B130" s="908" t="str">
        <f>"钦南区（"&amp;SUBTOTAL(3,C131:C133)&amp;"个）"</f>
        <v>钦南区（3个）</v>
      </c>
      <c r="C130" s="909"/>
      <c r="D130" s="910"/>
      <c r="E130" s="551"/>
      <c r="F130" s="134">
        <f>SUBTOTAL(9,F131:F133)</f>
        <v>63200</v>
      </c>
      <c r="G130" s="134">
        <f t="shared" ref="G130:M130" si="103">SUBTOTAL(9,G131:G133)</f>
        <v>26427</v>
      </c>
      <c r="H130" s="134"/>
      <c r="I130" s="134">
        <f t="shared" si="103"/>
        <v>2750</v>
      </c>
      <c r="J130" s="134">
        <f t="shared" si="103"/>
        <v>7100</v>
      </c>
      <c r="K130" s="134">
        <f t="shared" si="103"/>
        <v>12000</v>
      </c>
      <c r="L130" s="134">
        <f t="shared" si="103"/>
        <v>15000</v>
      </c>
      <c r="M130" s="134">
        <f t="shared" si="103"/>
        <v>0</v>
      </c>
      <c r="N130" s="134"/>
      <c r="O130" s="133"/>
      <c r="P130" s="134"/>
      <c r="Q130" s="37"/>
      <c r="R130" s="37"/>
      <c r="S130" s="37"/>
      <c r="T130" s="37"/>
      <c r="U130" s="37"/>
      <c r="V130" s="37"/>
      <c r="W130" s="37"/>
      <c r="X130" s="585"/>
      <c r="Y130" s="585"/>
      <c r="Z130" s="134">
        <f t="shared" ref="Z130:AP130" si="104">SUBTOTAL(9,Z131:Z133)</f>
        <v>0</v>
      </c>
      <c r="AA130" s="134">
        <f t="shared" si="104"/>
        <v>0</v>
      </c>
      <c r="AB130" s="134">
        <f t="shared" si="104"/>
        <v>0</v>
      </c>
      <c r="AC130" s="134">
        <f t="shared" si="104"/>
        <v>0</v>
      </c>
      <c r="AD130" s="134">
        <f t="shared" si="104"/>
        <v>0</v>
      </c>
      <c r="AE130" s="134">
        <f t="shared" si="104"/>
        <v>0</v>
      </c>
      <c r="AF130" s="134">
        <f t="shared" si="104"/>
        <v>0</v>
      </c>
      <c r="AG130" s="134">
        <f t="shared" si="104"/>
        <v>0</v>
      </c>
      <c r="AH130" s="134">
        <f t="shared" si="104"/>
        <v>0</v>
      </c>
      <c r="AI130" s="134">
        <f t="shared" si="104"/>
        <v>0</v>
      </c>
      <c r="AJ130" s="134">
        <f t="shared" si="104"/>
        <v>0</v>
      </c>
      <c r="AK130" s="134">
        <f t="shared" si="104"/>
        <v>0</v>
      </c>
      <c r="AL130" s="134">
        <f t="shared" si="104"/>
        <v>0</v>
      </c>
      <c r="AM130" s="134">
        <f t="shared" si="104"/>
        <v>0</v>
      </c>
      <c r="AN130" s="134">
        <f t="shared" si="104"/>
        <v>0</v>
      </c>
      <c r="AO130" s="134">
        <f t="shared" si="104"/>
        <v>0</v>
      </c>
      <c r="AP130" s="134">
        <f t="shared" si="104"/>
        <v>0</v>
      </c>
      <c r="AQ130" s="585"/>
      <c r="AR130" s="577"/>
      <c r="AS130" s="774"/>
      <c r="AT130" s="775"/>
      <c r="AU130" s="171"/>
    </row>
    <row r="131" ht="77.1" customHeight="1" spans="1:52">
      <c r="A131" s="23">
        <f>SUBTOTAL(3,C$7:C131)</f>
        <v>102</v>
      </c>
      <c r="B131" s="233" t="s">
        <v>659</v>
      </c>
      <c r="C131" s="87" t="s">
        <v>562</v>
      </c>
      <c r="D131" s="233" t="s">
        <v>660</v>
      </c>
      <c r="E131" s="87" t="s">
        <v>661</v>
      </c>
      <c r="F131" s="234">
        <v>30000</v>
      </c>
      <c r="G131" s="234">
        <v>4860</v>
      </c>
      <c r="H131" s="134"/>
      <c r="I131" s="581">
        <v>1000</v>
      </c>
      <c r="J131" s="581">
        <v>2600</v>
      </c>
      <c r="K131" s="581">
        <v>3700</v>
      </c>
      <c r="L131" s="234">
        <v>5000</v>
      </c>
      <c r="M131" s="234"/>
      <c r="N131" s="123" t="s">
        <v>662</v>
      </c>
      <c r="O131" s="133"/>
      <c r="P131" s="134"/>
      <c r="Q131" s="37"/>
      <c r="R131" s="37"/>
      <c r="S131" s="37"/>
      <c r="T131" s="37"/>
      <c r="U131" s="37"/>
      <c r="V131" s="37"/>
      <c r="W131" s="37"/>
      <c r="X131" s="585"/>
      <c r="Y131" s="585"/>
      <c r="Z131" s="770"/>
      <c r="AA131" s="770"/>
      <c r="AB131" s="770"/>
      <c r="AC131" s="770"/>
      <c r="AD131" s="770"/>
      <c r="AE131" s="770"/>
      <c r="AF131" s="770"/>
      <c r="AG131" s="770"/>
      <c r="AH131" s="770"/>
      <c r="AI131" s="770"/>
      <c r="AJ131" s="770"/>
      <c r="AK131" s="770"/>
      <c r="AL131" s="770"/>
      <c r="AM131" s="770"/>
      <c r="AN131" s="770"/>
      <c r="AO131" s="770"/>
      <c r="AP131" s="770"/>
      <c r="AQ131" s="585"/>
      <c r="AR131" s="259" t="s">
        <v>663</v>
      </c>
      <c r="AS131" s="86" t="s">
        <v>664</v>
      </c>
      <c r="AT131" s="34" t="s">
        <v>359</v>
      </c>
      <c r="AU131" s="91"/>
      <c r="AW131" s="158" t="s">
        <v>360</v>
      </c>
      <c r="AX131" s="158" t="s">
        <v>91</v>
      </c>
      <c r="AY131" s="158" t="str">
        <f t="shared" ref="AY131:AY133" si="105">AX131&amp;AW131</f>
        <v>工业钦南区</v>
      </c>
      <c r="AZ131" s="158" t="str">
        <f t="shared" ref="AZ131:AZ133" si="106">AX131</f>
        <v>工业</v>
      </c>
    </row>
    <row r="132" ht="69" customHeight="1" spans="1:52">
      <c r="A132" s="23">
        <f>SUBTOTAL(3,C$7:C132)</f>
        <v>103</v>
      </c>
      <c r="B132" s="233" t="s">
        <v>665</v>
      </c>
      <c r="C132" s="87" t="s">
        <v>562</v>
      </c>
      <c r="D132" s="233" t="s">
        <v>666</v>
      </c>
      <c r="E132" s="87" t="s">
        <v>575</v>
      </c>
      <c r="F132" s="234">
        <v>23000</v>
      </c>
      <c r="G132" s="234">
        <v>13783</v>
      </c>
      <c r="H132" s="134"/>
      <c r="I132" s="581">
        <v>1500</v>
      </c>
      <c r="J132" s="581">
        <v>3500</v>
      </c>
      <c r="K132" s="581">
        <v>6700</v>
      </c>
      <c r="L132" s="234">
        <v>8000</v>
      </c>
      <c r="M132" s="234"/>
      <c r="N132" s="123" t="s">
        <v>667</v>
      </c>
      <c r="O132" s="133"/>
      <c r="P132" s="134"/>
      <c r="Q132" s="37"/>
      <c r="R132" s="37"/>
      <c r="S132" s="37"/>
      <c r="T132" s="37"/>
      <c r="U132" s="37"/>
      <c r="V132" s="37"/>
      <c r="W132" s="37"/>
      <c r="X132" s="585"/>
      <c r="Y132" s="585"/>
      <c r="Z132" s="770"/>
      <c r="AA132" s="770"/>
      <c r="AB132" s="770"/>
      <c r="AC132" s="770"/>
      <c r="AD132" s="770"/>
      <c r="AE132" s="770"/>
      <c r="AF132" s="770"/>
      <c r="AG132" s="770"/>
      <c r="AH132" s="770"/>
      <c r="AI132" s="770"/>
      <c r="AJ132" s="770"/>
      <c r="AK132" s="770"/>
      <c r="AL132" s="770"/>
      <c r="AM132" s="770"/>
      <c r="AN132" s="770"/>
      <c r="AO132" s="770"/>
      <c r="AP132" s="770"/>
      <c r="AQ132" s="585"/>
      <c r="AR132" s="259" t="s">
        <v>663</v>
      </c>
      <c r="AS132" s="86" t="s">
        <v>668</v>
      </c>
      <c r="AT132" s="34" t="s">
        <v>359</v>
      </c>
      <c r="AU132" s="91"/>
      <c r="AW132" s="158" t="s">
        <v>360</v>
      </c>
      <c r="AX132" s="158" t="s">
        <v>91</v>
      </c>
      <c r="AY132" s="158" t="str">
        <f t="shared" si="105"/>
        <v>工业钦南区</v>
      </c>
      <c r="AZ132" s="158" t="str">
        <f t="shared" si="106"/>
        <v>工业</v>
      </c>
    </row>
    <row r="133" ht="80.1" customHeight="1" spans="1:52">
      <c r="A133" s="23">
        <f>SUBTOTAL(3,C$7:C133)</f>
        <v>104</v>
      </c>
      <c r="B133" s="233" t="s">
        <v>669</v>
      </c>
      <c r="C133" s="87" t="s">
        <v>562</v>
      </c>
      <c r="D133" s="233" t="s">
        <v>670</v>
      </c>
      <c r="E133" s="87" t="s">
        <v>575</v>
      </c>
      <c r="F133" s="234">
        <v>10200</v>
      </c>
      <c r="G133" s="234">
        <v>7784</v>
      </c>
      <c r="H133" s="134"/>
      <c r="I133" s="67">
        <v>250</v>
      </c>
      <c r="J133" s="67">
        <v>1000</v>
      </c>
      <c r="K133" s="67">
        <v>1600</v>
      </c>
      <c r="L133" s="234">
        <v>2000</v>
      </c>
      <c r="M133" s="234"/>
      <c r="N133" s="123" t="s">
        <v>671</v>
      </c>
      <c r="O133" s="133"/>
      <c r="P133" s="134"/>
      <c r="Q133" s="37"/>
      <c r="R133" s="37"/>
      <c r="S133" s="37"/>
      <c r="T133" s="37"/>
      <c r="U133" s="37"/>
      <c r="V133" s="37"/>
      <c r="W133" s="37"/>
      <c r="X133" s="585"/>
      <c r="Y133" s="585"/>
      <c r="Z133" s="770"/>
      <c r="AA133" s="770"/>
      <c r="AB133" s="770"/>
      <c r="AC133" s="770"/>
      <c r="AD133" s="770"/>
      <c r="AE133" s="770"/>
      <c r="AF133" s="770"/>
      <c r="AG133" s="770"/>
      <c r="AH133" s="770"/>
      <c r="AI133" s="770"/>
      <c r="AJ133" s="770"/>
      <c r="AK133" s="770"/>
      <c r="AL133" s="770"/>
      <c r="AM133" s="770"/>
      <c r="AN133" s="770"/>
      <c r="AO133" s="770"/>
      <c r="AP133" s="770"/>
      <c r="AQ133" s="585"/>
      <c r="AR133" s="259" t="s">
        <v>672</v>
      </c>
      <c r="AS133" s="683" t="s">
        <v>673</v>
      </c>
      <c r="AT133" s="34" t="s">
        <v>359</v>
      </c>
      <c r="AU133" s="91"/>
      <c r="AW133" s="158" t="s">
        <v>360</v>
      </c>
      <c r="AX133" s="158" t="s">
        <v>91</v>
      </c>
      <c r="AY133" s="158" t="str">
        <f t="shared" si="105"/>
        <v>工业钦南区</v>
      </c>
      <c r="AZ133" s="158" t="str">
        <f t="shared" si="106"/>
        <v>工业</v>
      </c>
    </row>
    <row r="134" ht="15.95" hidden="1" customHeight="1" spans="1:47">
      <c r="A134" s="551"/>
      <c r="B134" s="908" t="str">
        <f>"钦北区（"&amp;SUBTOTAL(3,C135:C139)&amp;"个）"</f>
        <v>钦北区（5个）</v>
      </c>
      <c r="C134" s="909"/>
      <c r="D134" s="910"/>
      <c r="E134" s="551"/>
      <c r="F134" s="134">
        <f>SUBTOTAL(9,F135:F139)</f>
        <v>208115</v>
      </c>
      <c r="G134" s="134">
        <f t="shared" ref="G134:M134" si="107">SUBTOTAL(9,G135:G139)</f>
        <v>18453</v>
      </c>
      <c r="H134" s="134"/>
      <c r="I134" s="134">
        <f t="shared" si="107"/>
        <v>4550</v>
      </c>
      <c r="J134" s="134">
        <f t="shared" si="107"/>
        <v>9000</v>
      </c>
      <c r="K134" s="134">
        <f t="shared" si="107"/>
        <v>15900</v>
      </c>
      <c r="L134" s="134">
        <f t="shared" si="107"/>
        <v>28000</v>
      </c>
      <c r="M134" s="134">
        <f t="shared" si="107"/>
        <v>50000</v>
      </c>
      <c r="N134" s="134"/>
      <c r="O134" s="133"/>
      <c r="P134" s="134"/>
      <c r="Q134" s="37"/>
      <c r="R134" s="37"/>
      <c r="S134" s="37"/>
      <c r="T134" s="37"/>
      <c r="U134" s="37"/>
      <c r="V134" s="37"/>
      <c r="W134" s="37"/>
      <c r="X134" s="585"/>
      <c r="Y134" s="585"/>
      <c r="Z134" s="134">
        <f t="shared" ref="Z134:AP134" si="108">SUBTOTAL(9,Z135:Z139)</f>
        <v>699</v>
      </c>
      <c r="AA134" s="134">
        <f t="shared" si="108"/>
        <v>599</v>
      </c>
      <c r="AB134" s="134">
        <f t="shared" si="108"/>
        <v>100</v>
      </c>
      <c r="AC134" s="134">
        <f t="shared" si="108"/>
        <v>0</v>
      </c>
      <c r="AD134" s="134">
        <f t="shared" si="108"/>
        <v>0</v>
      </c>
      <c r="AE134" s="134">
        <f t="shared" si="108"/>
        <v>0</v>
      </c>
      <c r="AF134" s="134">
        <f t="shared" si="108"/>
        <v>0</v>
      </c>
      <c r="AG134" s="134">
        <f t="shared" si="108"/>
        <v>0</v>
      </c>
      <c r="AH134" s="134">
        <f t="shared" si="108"/>
        <v>0</v>
      </c>
      <c r="AI134" s="134">
        <f t="shared" si="108"/>
        <v>0</v>
      </c>
      <c r="AJ134" s="134">
        <f t="shared" si="108"/>
        <v>0</v>
      </c>
      <c r="AK134" s="134">
        <f t="shared" si="108"/>
        <v>0</v>
      </c>
      <c r="AL134" s="134">
        <f t="shared" si="108"/>
        <v>0</v>
      </c>
      <c r="AM134" s="134">
        <f t="shared" si="108"/>
        <v>0</v>
      </c>
      <c r="AN134" s="134">
        <f t="shared" si="108"/>
        <v>0</v>
      </c>
      <c r="AO134" s="134">
        <f t="shared" si="108"/>
        <v>0</v>
      </c>
      <c r="AP134" s="134">
        <f t="shared" si="108"/>
        <v>0</v>
      </c>
      <c r="AQ134" s="585"/>
      <c r="AR134" s="577"/>
      <c r="AS134" s="774"/>
      <c r="AT134" s="775"/>
      <c r="AU134" s="171"/>
    </row>
    <row r="135" ht="80.1" customHeight="1" spans="1:52">
      <c r="A135" s="23">
        <f>SUBTOTAL(3,C$7:C135)</f>
        <v>105</v>
      </c>
      <c r="B135" s="665" t="s">
        <v>674</v>
      </c>
      <c r="C135" s="35" t="s">
        <v>562</v>
      </c>
      <c r="D135" s="88" t="s">
        <v>675</v>
      </c>
      <c r="E135" s="23" t="s">
        <v>632</v>
      </c>
      <c r="F135" s="67">
        <v>115000</v>
      </c>
      <c r="G135" s="36">
        <v>1000</v>
      </c>
      <c r="H135" s="134"/>
      <c r="I135" s="36">
        <v>1500</v>
      </c>
      <c r="J135" s="36">
        <v>3500</v>
      </c>
      <c r="K135" s="36">
        <v>6000</v>
      </c>
      <c r="L135" s="36">
        <v>8000</v>
      </c>
      <c r="M135" s="36"/>
      <c r="N135" s="112" t="s">
        <v>676</v>
      </c>
      <c r="O135" s="133"/>
      <c r="P135" s="134"/>
      <c r="Q135" s="37"/>
      <c r="R135" s="37"/>
      <c r="S135" s="37"/>
      <c r="T135" s="37"/>
      <c r="U135" s="37"/>
      <c r="V135" s="37"/>
      <c r="W135" s="37"/>
      <c r="X135" s="585"/>
      <c r="Y135" s="585"/>
      <c r="Z135" s="99">
        <v>400</v>
      </c>
      <c r="AA135" s="99">
        <v>400</v>
      </c>
      <c r="AB135" s="770"/>
      <c r="AC135" s="770"/>
      <c r="AD135" s="770"/>
      <c r="AE135" s="770"/>
      <c r="AF135" s="770"/>
      <c r="AG135" s="770"/>
      <c r="AH135" s="770"/>
      <c r="AI135" s="770"/>
      <c r="AJ135" s="770"/>
      <c r="AK135" s="770"/>
      <c r="AL135" s="770"/>
      <c r="AM135" s="770"/>
      <c r="AN135" s="770"/>
      <c r="AO135" s="770"/>
      <c r="AP135" s="770"/>
      <c r="AQ135" s="585"/>
      <c r="AR135" s="90" t="s">
        <v>117</v>
      </c>
      <c r="AS135" s="123" t="s">
        <v>677</v>
      </c>
      <c r="AT135" s="34" t="s">
        <v>375</v>
      </c>
      <c r="AU135" s="91"/>
      <c r="AW135" s="158" t="s">
        <v>376</v>
      </c>
      <c r="AX135" s="158" t="s">
        <v>91</v>
      </c>
      <c r="AY135" s="158" t="str">
        <f t="shared" ref="AY135:AY139" si="109">AX135&amp;AW135</f>
        <v>工业钦北区</v>
      </c>
      <c r="AZ135" s="158" t="str">
        <f t="shared" ref="AZ135:AZ139" si="110">AX135</f>
        <v>工业</v>
      </c>
    </row>
    <row r="136" ht="65.1" customHeight="1" spans="1:52">
      <c r="A136" s="23">
        <f>SUBTOTAL(3,C$7:C136)</f>
        <v>106</v>
      </c>
      <c r="B136" s="55" t="s">
        <v>678</v>
      </c>
      <c r="C136" s="35" t="s">
        <v>562</v>
      </c>
      <c r="D136" s="55" t="s">
        <v>679</v>
      </c>
      <c r="E136" s="35" t="s">
        <v>564</v>
      </c>
      <c r="F136" s="36">
        <v>30000</v>
      </c>
      <c r="G136" s="36">
        <v>13353</v>
      </c>
      <c r="H136" s="134"/>
      <c r="I136" s="36">
        <v>1000</v>
      </c>
      <c r="J136" s="36">
        <v>2500</v>
      </c>
      <c r="K136" s="36">
        <v>4000</v>
      </c>
      <c r="L136" s="36">
        <v>7000</v>
      </c>
      <c r="M136" s="36"/>
      <c r="N136" s="112" t="s">
        <v>680</v>
      </c>
      <c r="O136" s="133"/>
      <c r="P136" s="134"/>
      <c r="Q136" s="37"/>
      <c r="R136" s="37"/>
      <c r="S136" s="37"/>
      <c r="T136" s="37"/>
      <c r="U136" s="37"/>
      <c r="V136" s="37"/>
      <c r="W136" s="37"/>
      <c r="X136" s="585"/>
      <c r="Y136" s="585"/>
      <c r="Z136" s="99">
        <v>100</v>
      </c>
      <c r="AA136" s="99">
        <v>100</v>
      </c>
      <c r="AB136" s="99"/>
      <c r="AC136" s="770"/>
      <c r="AD136" s="770"/>
      <c r="AE136" s="770"/>
      <c r="AF136" s="770"/>
      <c r="AG136" s="770"/>
      <c r="AH136" s="770"/>
      <c r="AI136" s="770"/>
      <c r="AJ136" s="770"/>
      <c r="AK136" s="770"/>
      <c r="AL136" s="770"/>
      <c r="AM136" s="770"/>
      <c r="AN136" s="770"/>
      <c r="AO136" s="770"/>
      <c r="AP136" s="770"/>
      <c r="AQ136" s="585"/>
      <c r="AR136" s="90" t="s">
        <v>117</v>
      </c>
      <c r="AS136" s="34" t="s">
        <v>681</v>
      </c>
      <c r="AT136" s="34" t="s">
        <v>375</v>
      </c>
      <c r="AU136" s="91"/>
      <c r="AW136" s="158" t="s">
        <v>376</v>
      </c>
      <c r="AX136" s="158" t="s">
        <v>91</v>
      </c>
      <c r="AY136" s="158" t="str">
        <f t="shared" si="109"/>
        <v>工业钦北区</v>
      </c>
      <c r="AZ136" s="158" t="str">
        <f t="shared" si="110"/>
        <v>工业</v>
      </c>
    </row>
    <row r="137" ht="71.1" customHeight="1" spans="1:52">
      <c r="A137" s="23">
        <f>SUBTOTAL(3,C$7:C137)</f>
        <v>107</v>
      </c>
      <c r="B137" s="55" t="s">
        <v>682</v>
      </c>
      <c r="C137" s="35" t="s">
        <v>562</v>
      </c>
      <c r="D137" s="55" t="s">
        <v>683</v>
      </c>
      <c r="E137" s="35" t="s">
        <v>604</v>
      </c>
      <c r="F137" s="36">
        <v>30000</v>
      </c>
      <c r="G137" s="36">
        <v>300</v>
      </c>
      <c r="H137" s="134"/>
      <c r="I137" s="36">
        <v>1500</v>
      </c>
      <c r="J137" s="36">
        <v>1500</v>
      </c>
      <c r="K137" s="36">
        <v>3000</v>
      </c>
      <c r="L137" s="36">
        <v>8000</v>
      </c>
      <c r="M137" s="36">
        <v>50000</v>
      </c>
      <c r="N137" s="112" t="s">
        <v>676</v>
      </c>
      <c r="O137" s="133"/>
      <c r="P137" s="134"/>
      <c r="Q137" s="37"/>
      <c r="R137" s="37"/>
      <c r="S137" s="37"/>
      <c r="T137" s="37"/>
      <c r="U137" s="37"/>
      <c r="V137" s="37"/>
      <c r="W137" s="37"/>
      <c r="X137" s="585"/>
      <c r="Y137" s="585"/>
      <c r="Z137" s="932">
        <v>50</v>
      </c>
      <c r="AA137" s="932">
        <v>50</v>
      </c>
      <c r="AB137" s="99"/>
      <c r="AC137" s="770"/>
      <c r="AD137" s="770"/>
      <c r="AE137" s="770"/>
      <c r="AF137" s="770"/>
      <c r="AG137" s="770"/>
      <c r="AH137" s="770"/>
      <c r="AI137" s="770"/>
      <c r="AJ137" s="770"/>
      <c r="AK137" s="770"/>
      <c r="AL137" s="770"/>
      <c r="AM137" s="770"/>
      <c r="AN137" s="770"/>
      <c r="AO137" s="770"/>
      <c r="AP137" s="770"/>
      <c r="AQ137" s="585"/>
      <c r="AR137" s="90" t="s">
        <v>117</v>
      </c>
      <c r="AS137" s="34" t="s">
        <v>684</v>
      </c>
      <c r="AT137" s="34" t="s">
        <v>375</v>
      </c>
      <c r="AU137" s="91"/>
      <c r="AW137" s="158" t="s">
        <v>376</v>
      </c>
      <c r="AX137" s="158" t="s">
        <v>91</v>
      </c>
      <c r="AY137" s="158" t="str">
        <f t="shared" si="109"/>
        <v>工业钦北区</v>
      </c>
      <c r="AZ137" s="158" t="str">
        <f t="shared" si="110"/>
        <v>工业</v>
      </c>
    </row>
    <row r="138" ht="66.95" customHeight="1" spans="1:52">
      <c r="A138" s="23">
        <f>SUBTOTAL(3,C$7:C138)</f>
        <v>108</v>
      </c>
      <c r="B138" s="55" t="s">
        <v>685</v>
      </c>
      <c r="C138" s="35" t="s">
        <v>562</v>
      </c>
      <c r="D138" s="55" t="s">
        <v>686</v>
      </c>
      <c r="E138" s="35" t="s">
        <v>564</v>
      </c>
      <c r="F138" s="36">
        <v>23115</v>
      </c>
      <c r="G138" s="36">
        <v>3500</v>
      </c>
      <c r="H138" s="134"/>
      <c r="I138" s="36">
        <v>400</v>
      </c>
      <c r="J138" s="36">
        <v>1100</v>
      </c>
      <c r="K138" s="36">
        <v>2100</v>
      </c>
      <c r="L138" s="36">
        <v>3000</v>
      </c>
      <c r="M138" s="36"/>
      <c r="N138" s="112" t="s">
        <v>687</v>
      </c>
      <c r="O138" s="133"/>
      <c r="P138" s="134"/>
      <c r="Q138" s="37"/>
      <c r="R138" s="37"/>
      <c r="S138" s="37"/>
      <c r="T138" s="37"/>
      <c r="U138" s="37"/>
      <c r="V138" s="37"/>
      <c r="W138" s="37"/>
      <c r="X138" s="585"/>
      <c r="Y138" s="585"/>
      <c r="Z138" s="99">
        <v>100</v>
      </c>
      <c r="AA138" s="99"/>
      <c r="AB138" s="99">
        <v>100</v>
      </c>
      <c r="AC138" s="770"/>
      <c r="AD138" s="770"/>
      <c r="AE138" s="770"/>
      <c r="AF138" s="770"/>
      <c r="AG138" s="770"/>
      <c r="AH138" s="770"/>
      <c r="AI138" s="770"/>
      <c r="AJ138" s="770"/>
      <c r="AK138" s="770"/>
      <c r="AL138" s="770"/>
      <c r="AM138" s="770"/>
      <c r="AN138" s="770"/>
      <c r="AO138" s="770"/>
      <c r="AP138" s="770"/>
      <c r="AQ138" s="585"/>
      <c r="AR138" s="90" t="s">
        <v>117</v>
      </c>
      <c r="AS138" s="34" t="s">
        <v>688</v>
      </c>
      <c r="AT138" s="34" t="s">
        <v>375</v>
      </c>
      <c r="AU138" s="91"/>
      <c r="AW138" s="158" t="s">
        <v>376</v>
      </c>
      <c r="AX138" s="158" t="s">
        <v>91</v>
      </c>
      <c r="AY138" s="158" t="str">
        <f t="shared" si="109"/>
        <v>工业钦北区</v>
      </c>
      <c r="AZ138" s="158" t="str">
        <f t="shared" si="110"/>
        <v>工业</v>
      </c>
    </row>
    <row r="139" ht="68.1" customHeight="1" spans="1:52">
      <c r="A139" s="23">
        <f>SUBTOTAL(3,C$7:C139)</f>
        <v>109</v>
      </c>
      <c r="B139" s="55" t="s">
        <v>689</v>
      </c>
      <c r="C139" s="35" t="s">
        <v>562</v>
      </c>
      <c r="D139" s="55" t="s">
        <v>690</v>
      </c>
      <c r="E139" s="35" t="s">
        <v>604</v>
      </c>
      <c r="F139" s="36">
        <v>10000</v>
      </c>
      <c r="G139" s="36">
        <v>300</v>
      </c>
      <c r="H139" s="134"/>
      <c r="I139" s="36">
        <v>150</v>
      </c>
      <c r="J139" s="36">
        <v>400</v>
      </c>
      <c r="K139" s="36">
        <v>800</v>
      </c>
      <c r="L139" s="36">
        <v>2000</v>
      </c>
      <c r="M139" s="36"/>
      <c r="N139" s="112" t="s">
        <v>379</v>
      </c>
      <c r="O139" s="133"/>
      <c r="P139" s="134"/>
      <c r="Q139" s="37"/>
      <c r="R139" s="37"/>
      <c r="S139" s="37"/>
      <c r="T139" s="37"/>
      <c r="U139" s="37"/>
      <c r="V139" s="37"/>
      <c r="W139" s="37"/>
      <c r="X139" s="585"/>
      <c r="Y139" s="585"/>
      <c r="Z139" s="932">
        <v>49</v>
      </c>
      <c r="AA139" s="932">
        <v>49</v>
      </c>
      <c r="AB139" s="770"/>
      <c r="AC139" s="770"/>
      <c r="AD139" s="770"/>
      <c r="AE139" s="770"/>
      <c r="AF139" s="770"/>
      <c r="AG139" s="770"/>
      <c r="AH139" s="770"/>
      <c r="AI139" s="770"/>
      <c r="AJ139" s="770"/>
      <c r="AK139" s="770"/>
      <c r="AL139" s="770"/>
      <c r="AM139" s="770"/>
      <c r="AN139" s="770"/>
      <c r="AO139" s="770"/>
      <c r="AP139" s="770"/>
      <c r="AQ139" s="585"/>
      <c r="AR139" s="90" t="s">
        <v>117</v>
      </c>
      <c r="AS139" s="34" t="s">
        <v>691</v>
      </c>
      <c r="AT139" s="34" t="s">
        <v>375</v>
      </c>
      <c r="AU139" s="91"/>
      <c r="AW139" s="158" t="s">
        <v>376</v>
      </c>
      <c r="AX139" s="158" t="s">
        <v>91</v>
      </c>
      <c r="AY139" s="158" t="str">
        <f t="shared" si="109"/>
        <v>工业钦北区</v>
      </c>
      <c r="AZ139" s="158" t="str">
        <f t="shared" si="110"/>
        <v>工业</v>
      </c>
    </row>
    <row r="140" ht="30" customHeight="1" spans="1:47">
      <c r="A140" s="551" t="s">
        <v>412</v>
      </c>
      <c r="B140" s="557" t="str">
        <f>"能源（"&amp;SUBTOTAL(3,C141:C145)&amp;"个）"</f>
        <v>能源（5个）</v>
      </c>
      <c r="C140" s="557"/>
      <c r="D140" s="557"/>
      <c r="E140" s="551"/>
      <c r="F140" s="134">
        <f>SUBTOTAL(9,F141:F145)</f>
        <v>385240</v>
      </c>
      <c r="G140" s="134">
        <f t="shared" ref="G140:M140" si="111">SUBTOTAL(9,G141:G145)</f>
        <v>90006</v>
      </c>
      <c r="H140" s="134"/>
      <c r="I140" s="134">
        <f t="shared" si="111"/>
        <v>5850</v>
      </c>
      <c r="J140" s="134">
        <f t="shared" si="111"/>
        <v>23200</v>
      </c>
      <c r="K140" s="134">
        <f t="shared" si="111"/>
        <v>45500</v>
      </c>
      <c r="L140" s="134">
        <f t="shared" si="111"/>
        <v>72000</v>
      </c>
      <c r="M140" s="134">
        <f t="shared" si="111"/>
        <v>0</v>
      </c>
      <c r="N140" s="134"/>
      <c r="O140" s="133"/>
      <c r="P140" s="134"/>
      <c r="Q140" s="37"/>
      <c r="R140" s="37"/>
      <c r="S140" s="37"/>
      <c r="T140" s="37"/>
      <c r="U140" s="37"/>
      <c r="V140" s="37"/>
      <c r="W140" s="37"/>
      <c r="X140" s="585"/>
      <c r="Y140" s="585"/>
      <c r="Z140" s="134">
        <f t="shared" ref="Z140:AP140" si="112">SUBTOTAL(9,Z142:Z145)</f>
        <v>0</v>
      </c>
      <c r="AA140" s="134">
        <f t="shared" si="112"/>
        <v>0</v>
      </c>
      <c r="AB140" s="134">
        <f t="shared" si="112"/>
        <v>0</v>
      </c>
      <c r="AC140" s="134">
        <f t="shared" si="112"/>
        <v>0</v>
      </c>
      <c r="AD140" s="134">
        <f t="shared" si="112"/>
        <v>0</v>
      </c>
      <c r="AE140" s="134">
        <f t="shared" si="112"/>
        <v>0</v>
      </c>
      <c r="AF140" s="134">
        <f t="shared" si="112"/>
        <v>0</v>
      </c>
      <c r="AG140" s="134">
        <f t="shared" si="112"/>
        <v>0</v>
      </c>
      <c r="AH140" s="134">
        <f t="shared" si="112"/>
        <v>0</v>
      </c>
      <c r="AI140" s="134">
        <f t="shared" si="112"/>
        <v>0</v>
      </c>
      <c r="AJ140" s="134">
        <f t="shared" si="112"/>
        <v>0</v>
      </c>
      <c r="AK140" s="134">
        <f t="shared" si="112"/>
        <v>0</v>
      </c>
      <c r="AL140" s="134">
        <f t="shared" si="112"/>
        <v>0</v>
      </c>
      <c r="AM140" s="134">
        <f t="shared" si="112"/>
        <v>0</v>
      </c>
      <c r="AN140" s="134">
        <f t="shared" si="112"/>
        <v>0</v>
      </c>
      <c r="AO140" s="134">
        <f t="shared" si="112"/>
        <v>0</v>
      </c>
      <c r="AP140" s="134">
        <f t="shared" si="112"/>
        <v>0</v>
      </c>
      <c r="AQ140" s="585"/>
      <c r="AR140" s="577"/>
      <c r="AS140" s="774"/>
      <c r="AT140" s="774"/>
      <c r="AU140" s="171"/>
    </row>
    <row r="141" ht="63.95" customHeight="1" spans="1:52">
      <c r="A141" s="23">
        <f>SUBTOTAL(3,C$11:C141)</f>
        <v>110</v>
      </c>
      <c r="B141" s="55" t="s">
        <v>692</v>
      </c>
      <c r="C141" s="87" t="s">
        <v>562</v>
      </c>
      <c r="D141" s="232" t="s">
        <v>693</v>
      </c>
      <c r="E141" s="35" t="s">
        <v>575</v>
      </c>
      <c r="F141" s="35">
        <v>91440</v>
      </c>
      <c r="G141" s="35">
        <v>9350</v>
      </c>
      <c r="H141" s="134"/>
      <c r="I141" s="36">
        <v>1000</v>
      </c>
      <c r="J141" s="36">
        <v>3000</v>
      </c>
      <c r="K141" s="36">
        <v>8000</v>
      </c>
      <c r="L141" s="35">
        <v>20000</v>
      </c>
      <c r="M141" s="134"/>
      <c r="N141" s="112" t="s">
        <v>694</v>
      </c>
      <c r="O141" s="133"/>
      <c r="P141" s="134"/>
      <c r="Q141" s="37"/>
      <c r="R141" s="37"/>
      <c r="S141" s="37"/>
      <c r="T141" s="37"/>
      <c r="U141" s="37"/>
      <c r="V141" s="37"/>
      <c r="W141" s="37"/>
      <c r="X141" s="585"/>
      <c r="Y141" s="585"/>
      <c r="Z141" s="770"/>
      <c r="AA141" s="770"/>
      <c r="AB141" s="770"/>
      <c r="AC141" s="770"/>
      <c r="AD141" s="770"/>
      <c r="AE141" s="770"/>
      <c r="AF141" s="770"/>
      <c r="AG141" s="770"/>
      <c r="AH141" s="770"/>
      <c r="AI141" s="770"/>
      <c r="AJ141" s="770"/>
      <c r="AK141" s="770"/>
      <c r="AL141" s="770"/>
      <c r="AM141" s="770"/>
      <c r="AN141" s="770"/>
      <c r="AO141" s="770"/>
      <c r="AP141" s="770"/>
      <c r="AQ141" s="585"/>
      <c r="AR141" s="90" t="s">
        <v>695</v>
      </c>
      <c r="AS141" s="123" t="s">
        <v>696</v>
      </c>
      <c r="AT141" s="34" t="s">
        <v>317</v>
      </c>
      <c r="AU141" s="171"/>
      <c r="AW141" s="158" t="s">
        <v>318</v>
      </c>
      <c r="AX141" s="158" t="s">
        <v>420</v>
      </c>
      <c r="AY141" s="158" t="str">
        <f t="shared" ref="AY141:AY145" si="113">AX141&amp;AW141</f>
        <v>能源浦北县</v>
      </c>
      <c r="AZ141" s="158" t="s">
        <v>91</v>
      </c>
    </row>
    <row r="142" ht="60.75" customHeight="1" spans="1:52">
      <c r="A142" s="23">
        <f>SUBTOTAL(3,C$7:C142)</f>
        <v>111</v>
      </c>
      <c r="B142" s="55" t="s">
        <v>697</v>
      </c>
      <c r="C142" s="87" t="s">
        <v>562</v>
      </c>
      <c r="D142" s="55" t="s">
        <v>698</v>
      </c>
      <c r="E142" s="35" t="s">
        <v>575</v>
      </c>
      <c r="F142" s="36">
        <v>94800</v>
      </c>
      <c r="G142" s="36">
        <v>27220</v>
      </c>
      <c r="H142" s="134"/>
      <c r="I142" s="581">
        <v>250</v>
      </c>
      <c r="J142" s="581">
        <v>800</v>
      </c>
      <c r="K142" s="581">
        <v>1500</v>
      </c>
      <c r="L142" s="36">
        <v>2000</v>
      </c>
      <c r="M142" s="134"/>
      <c r="N142" s="123" t="s">
        <v>699</v>
      </c>
      <c r="O142" s="133"/>
      <c r="P142" s="134"/>
      <c r="Q142" s="37"/>
      <c r="R142" s="37"/>
      <c r="S142" s="37"/>
      <c r="T142" s="37"/>
      <c r="U142" s="37"/>
      <c r="V142" s="37"/>
      <c r="W142" s="37"/>
      <c r="X142" s="585"/>
      <c r="Y142" s="585"/>
      <c r="Z142" s="770"/>
      <c r="AA142" s="770"/>
      <c r="AB142" s="770"/>
      <c r="AC142" s="770"/>
      <c r="AD142" s="770"/>
      <c r="AE142" s="770"/>
      <c r="AF142" s="770"/>
      <c r="AG142" s="770"/>
      <c r="AH142" s="770"/>
      <c r="AI142" s="770"/>
      <c r="AJ142" s="770"/>
      <c r="AK142" s="770"/>
      <c r="AL142" s="770"/>
      <c r="AM142" s="770"/>
      <c r="AN142" s="770"/>
      <c r="AO142" s="770"/>
      <c r="AP142" s="770"/>
      <c r="AQ142" s="585"/>
      <c r="AR142" s="259" t="s">
        <v>700</v>
      </c>
      <c r="AS142" s="112" t="s">
        <v>701</v>
      </c>
      <c r="AT142" s="34" t="s">
        <v>359</v>
      </c>
      <c r="AU142" s="171"/>
      <c r="AW142" s="158" t="s">
        <v>360</v>
      </c>
      <c r="AX142" s="158" t="s">
        <v>420</v>
      </c>
      <c r="AY142" s="158" t="str">
        <f t="shared" si="113"/>
        <v>能源钦南区</v>
      </c>
      <c r="AZ142" s="158" t="s">
        <v>91</v>
      </c>
    </row>
    <row r="143" ht="72" customHeight="1" spans="1:52">
      <c r="A143" s="23">
        <f>SUBTOTAL(3,C$7:C143)</f>
        <v>112</v>
      </c>
      <c r="B143" s="55" t="s">
        <v>702</v>
      </c>
      <c r="C143" s="87" t="s">
        <v>562</v>
      </c>
      <c r="D143" s="55" t="s">
        <v>703</v>
      </c>
      <c r="E143" s="35" t="s">
        <v>604</v>
      </c>
      <c r="F143" s="36">
        <v>84000</v>
      </c>
      <c r="G143" s="36">
        <v>20000</v>
      </c>
      <c r="H143" s="134"/>
      <c r="I143" s="581">
        <v>2600</v>
      </c>
      <c r="J143" s="581">
        <v>7500</v>
      </c>
      <c r="K143" s="581">
        <v>13000</v>
      </c>
      <c r="L143" s="36">
        <v>20000</v>
      </c>
      <c r="M143" s="134"/>
      <c r="N143" s="123" t="s">
        <v>704</v>
      </c>
      <c r="O143" s="133"/>
      <c r="P143" s="134"/>
      <c r="Q143" s="37"/>
      <c r="R143" s="37"/>
      <c r="S143" s="37"/>
      <c r="T143" s="37"/>
      <c r="U143" s="37"/>
      <c r="V143" s="37"/>
      <c r="W143" s="37"/>
      <c r="X143" s="585"/>
      <c r="Y143" s="585"/>
      <c r="Z143" s="770"/>
      <c r="AA143" s="770"/>
      <c r="AB143" s="770"/>
      <c r="AC143" s="770"/>
      <c r="AD143" s="770"/>
      <c r="AE143" s="770"/>
      <c r="AF143" s="770"/>
      <c r="AG143" s="770"/>
      <c r="AH143" s="770"/>
      <c r="AI143" s="770"/>
      <c r="AJ143" s="770"/>
      <c r="AK143" s="770"/>
      <c r="AL143" s="770"/>
      <c r="AM143" s="770"/>
      <c r="AN143" s="770"/>
      <c r="AO143" s="770"/>
      <c r="AP143" s="770"/>
      <c r="AQ143" s="585"/>
      <c r="AR143" s="259" t="s">
        <v>705</v>
      </c>
      <c r="AS143" s="112" t="s">
        <v>706</v>
      </c>
      <c r="AT143" s="34" t="s">
        <v>359</v>
      </c>
      <c r="AU143" s="171"/>
      <c r="AW143" s="158" t="s">
        <v>360</v>
      </c>
      <c r="AX143" s="158" t="s">
        <v>420</v>
      </c>
      <c r="AY143" s="158" t="str">
        <f t="shared" si="113"/>
        <v>能源钦南区</v>
      </c>
      <c r="AZ143" s="158" t="s">
        <v>91</v>
      </c>
    </row>
    <row r="144" ht="80.1" customHeight="1" spans="1:52">
      <c r="A144" s="23">
        <f>SUBTOTAL(3,C$7:C144)</f>
        <v>113</v>
      </c>
      <c r="B144" s="55" t="s">
        <v>707</v>
      </c>
      <c r="C144" s="87" t="s">
        <v>562</v>
      </c>
      <c r="D144" s="55" t="s">
        <v>698</v>
      </c>
      <c r="E144" s="35" t="s">
        <v>604</v>
      </c>
      <c r="F144" s="36">
        <v>70000</v>
      </c>
      <c r="G144" s="36">
        <v>12409</v>
      </c>
      <c r="H144" s="134"/>
      <c r="I144" s="581">
        <v>1500</v>
      </c>
      <c r="J144" s="581">
        <v>6900</v>
      </c>
      <c r="K144" s="581">
        <v>15000</v>
      </c>
      <c r="L144" s="36">
        <v>20000</v>
      </c>
      <c r="M144" s="134"/>
      <c r="N144" s="123" t="s">
        <v>704</v>
      </c>
      <c r="O144" s="133"/>
      <c r="P144" s="134"/>
      <c r="Q144" s="37"/>
      <c r="R144" s="37"/>
      <c r="S144" s="37"/>
      <c r="T144" s="37"/>
      <c r="U144" s="37"/>
      <c r="V144" s="37"/>
      <c r="W144" s="37"/>
      <c r="X144" s="585"/>
      <c r="Y144" s="585"/>
      <c r="Z144" s="770"/>
      <c r="AA144" s="770"/>
      <c r="AB144" s="770"/>
      <c r="AC144" s="770"/>
      <c r="AD144" s="770"/>
      <c r="AE144" s="770"/>
      <c r="AF144" s="770"/>
      <c r="AG144" s="770"/>
      <c r="AH144" s="770"/>
      <c r="AI144" s="770"/>
      <c r="AJ144" s="770"/>
      <c r="AK144" s="770"/>
      <c r="AL144" s="770"/>
      <c r="AM144" s="770"/>
      <c r="AN144" s="770"/>
      <c r="AO144" s="770"/>
      <c r="AP144" s="770"/>
      <c r="AQ144" s="585"/>
      <c r="AR144" s="259" t="s">
        <v>708</v>
      </c>
      <c r="AS144" s="112" t="s">
        <v>709</v>
      </c>
      <c r="AT144" s="34" t="s">
        <v>359</v>
      </c>
      <c r="AU144" s="171"/>
      <c r="AW144" s="158" t="s">
        <v>360</v>
      </c>
      <c r="AX144" s="158" t="s">
        <v>420</v>
      </c>
      <c r="AY144" s="158" t="str">
        <f t="shared" si="113"/>
        <v>能源钦南区</v>
      </c>
      <c r="AZ144" s="158" t="s">
        <v>91</v>
      </c>
    </row>
    <row r="145" ht="60.75" customHeight="1" spans="1:52">
      <c r="A145" s="23">
        <f>SUBTOTAL(3,C$7:C145)</f>
        <v>114</v>
      </c>
      <c r="B145" s="55" t="s">
        <v>710</v>
      </c>
      <c r="C145" s="87" t="s">
        <v>562</v>
      </c>
      <c r="D145" s="55" t="s">
        <v>711</v>
      </c>
      <c r="E145" s="35" t="s">
        <v>575</v>
      </c>
      <c r="F145" s="36">
        <v>45000</v>
      </c>
      <c r="G145" s="36">
        <v>21027</v>
      </c>
      <c r="H145" s="134"/>
      <c r="I145" s="234">
        <v>500</v>
      </c>
      <c r="J145" s="234">
        <v>5000</v>
      </c>
      <c r="K145" s="234">
        <v>8000</v>
      </c>
      <c r="L145" s="36">
        <v>10000</v>
      </c>
      <c r="M145" s="134"/>
      <c r="N145" s="125" t="s">
        <v>712</v>
      </c>
      <c r="O145" s="133"/>
      <c r="P145" s="134"/>
      <c r="Q145" s="37"/>
      <c r="R145" s="37"/>
      <c r="S145" s="37"/>
      <c r="T145" s="37"/>
      <c r="U145" s="37"/>
      <c r="V145" s="37"/>
      <c r="W145" s="37"/>
      <c r="X145" s="585"/>
      <c r="Y145" s="585"/>
      <c r="Z145" s="770"/>
      <c r="AA145" s="770"/>
      <c r="AB145" s="770"/>
      <c r="AC145" s="770"/>
      <c r="AD145" s="770"/>
      <c r="AE145" s="770"/>
      <c r="AF145" s="770"/>
      <c r="AG145" s="770"/>
      <c r="AH145" s="770"/>
      <c r="AI145" s="770"/>
      <c r="AJ145" s="770"/>
      <c r="AK145" s="770"/>
      <c r="AL145" s="770"/>
      <c r="AM145" s="770"/>
      <c r="AN145" s="770"/>
      <c r="AO145" s="770"/>
      <c r="AP145" s="770"/>
      <c r="AQ145" s="585"/>
      <c r="AR145" s="259" t="s">
        <v>713</v>
      </c>
      <c r="AS145" s="34" t="s">
        <v>714</v>
      </c>
      <c r="AT145" s="34" t="s">
        <v>359</v>
      </c>
      <c r="AU145" s="171"/>
      <c r="AW145" s="158" t="s">
        <v>360</v>
      </c>
      <c r="AX145" s="158" t="s">
        <v>420</v>
      </c>
      <c r="AY145" s="158" t="str">
        <f t="shared" si="113"/>
        <v>能源钦南区</v>
      </c>
      <c r="AZ145" s="158" t="s">
        <v>91</v>
      </c>
    </row>
    <row r="146" ht="30" customHeight="1" spans="1:47">
      <c r="A146" s="551" t="s">
        <v>448</v>
      </c>
      <c r="B146" s="557" t="str">
        <f>"农业（"&amp;SUBTOTAL(3,C147:C151)&amp;"个）"</f>
        <v>农业（5个）</v>
      </c>
      <c r="C146" s="557"/>
      <c r="D146" s="557"/>
      <c r="E146" s="551"/>
      <c r="F146" s="134">
        <f t="shared" ref="F146:M146" si="114">SUBTOTAL(9,F147:F151)</f>
        <v>252380</v>
      </c>
      <c r="G146" s="134">
        <f t="shared" si="114"/>
        <v>47986</v>
      </c>
      <c r="H146" s="134"/>
      <c r="I146" s="134">
        <f t="shared" si="114"/>
        <v>2960</v>
      </c>
      <c r="J146" s="134">
        <f t="shared" si="114"/>
        <v>7600</v>
      </c>
      <c r="K146" s="134">
        <f t="shared" si="114"/>
        <v>12600</v>
      </c>
      <c r="L146" s="134">
        <f t="shared" si="114"/>
        <v>14500</v>
      </c>
      <c r="M146" s="134">
        <f t="shared" si="114"/>
        <v>0</v>
      </c>
      <c r="N146" s="134"/>
      <c r="O146" s="133"/>
      <c r="P146" s="134"/>
      <c r="Q146" s="37"/>
      <c r="R146" s="37"/>
      <c r="S146" s="37"/>
      <c r="T146" s="37"/>
      <c r="U146" s="37"/>
      <c r="V146" s="37"/>
      <c r="W146" s="37"/>
      <c r="X146" s="585"/>
      <c r="Y146" s="585"/>
      <c r="Z146" s="134">
        <f t="shared" ref="Z146:AP146" si="115">SUBTOTAL(9,Z147:Z151)</f>
        <v>0</v>
      </c>
      <c r="AA146" s="134">
        <f t="shared" si="115"/>
        <v>0</v>
      </c>
      <c r="AB146" s="134">
        <f t="shared" si="115"/>
        <v>0</v>
      </c>
      <c r="AC146" s="134">
        <f t="shared" si="115"/>
        <v>0</v>
      </c>
      <c r="AD146" s="134">
        <f t="shared" si="115"/>
        <v>0</v>
      </c>
      <c r="AE146" s="134">
        <f t="shared" si="115"/>
        <v>0</v>
      </c>
      <c r="AF146" s="134">
        <f t="shared" si="115"/>
        <v>0</v>
      </c>
      <c r="AG146" s="134">
        <f t="shared" si="115"/>
        <v>0</v>
      </c>
      <c r="AH146" s="134">
        <f t="shared" si="115"/>
        <v>0</v>
      </c>
      <c r="AI146" s="134">
        <f t="shared" si="115"/>
        <v>0</v>
      </c>
      <c r="AJ146" s="134">
        <f t="shared" si="115"/>
        <v>0</v>
      </c>
      <c r="AK146" s="134">
        <f t="shared" si="115"/>
        <v>0</v>
      </c>
      <c r="AL146" s="134">
        <f t="shared" si="115"/>
        <v>0</v>
      </c>
      <c r="AM146" s="134">
        <f t="shared" si="115"/>
        <v>0</v>
      </c>
      <c r="AN146" s="134">
        <f t="shared" si="115"/>
        <v>0</v>
      </c>
      <c r="AO146" s="134">
        <f t="shared" si="115"/>
        <v>0</v>
      </c>
      <c r="AP146" s="134">
        <f t="shared" si="115"/>
        <v>0</v>
      </c>
      <c r="AQ146" s="585"/>
      <c r="AR146" s="577"/>
      <c r="AS146" s="774"/>
      <c r="AT146" s="774"/>
      <c r="AU146" s="171"/>
    </row>
    <row r="147" ht="76.5" customHeight="1" spans="1:52">
      <c r="A147" s="23">
        <f>SUBTOTAL(3,C$7:C147)</f>
        <v>115</v>
      </c>
      <c r="B147" s="55" t="s">
        <v>715</v>
      </c>
      <c r="C147" s="35" t="s">
        <v>562</v>
      </c>
      <c r="D147" s="55" t="s">
        <v>716</v>
      </c>
      <c r="E147" s="35" t="s">
        <v>604</v>
      </c>
      <c r="F147" s="38">
        <v>25000</v>
      </c>
      <c r="G147" s="38">
        <v>1500</v>
      </c>
      <c r="H147" s="134"/>
      <c r="I147" s="67"/>
      <c r="J147" s="67">
        <v>300</v>
      </c>
      <c r="K147" s="67">
        <v>1000</v>
      </c>
      <c r="L147" s="38">
        <v>2500</v>
      </c>
      <c r="M147" s="38"/>
      <c r="N147" s="123" t="s">
        <v>717</v>
      </c>
      <c r="O147" s="133"/>
      <c r="P147" s="134"/>
      <c r="Q147" s="37"/>
      <c r="R147" s="37"/>
      <c r="S147" s="37"/>
      <c r="T147" s="37"/>
      <c r="U147" s="37"/>
      <c r="V147" s="37"/>
      <c r="W147" s="37"/>
      <c r="X147" s="585"/>
      <c r="Y147" s="585"/>
      <c r="Z147" s="770"/>
      <c r="AA147" s="770"/>
      <c r="AB147" s="770"/>
      <c r="AC147" s="770"/>
      <c r="AD147" s="770"/>
      <c r="AE147" s="770"/>
      <c r="AF147" s="770"/>
      <c r="AG147" s="770"/>
      <c r="AH147" s="770"/>
      <c r="AI147" s="770"/>
      <c r="AJ147" s="770"/>
      <c r="AK147" s="770"/>
      <c r="AL147" s="770"/>
      <c r="AM147" s="770"/>
      <c r="AN147" s="770"/>
      <c r="AO147" s="770"/>
      <c r="AP147" s="770"/>
      <c r="AQ147" s="585"/>
      <c r="AR147" s="90" t="s">
        <v>718</v>
      </c>
      <c r="AS147" s="34" t="s">
        <v>719</v>
      </c>
      <c r="AT147" s="34" t="s">
        <v>720</v>
      </c>
      <c r="AU147" s="35" t="s">
        <v>721</v>
      </c>
      <c r="AW147" s="158" t="s">
        <v>720</v>
      </c>
      <c r="AX147" s="158" t="s">
        <v>722</v>
      </c>
      <c r="AY147" s="158" t="str">
        <f t="shared" ref="AY147:AY151" si="116">AX147&amp;AW147</f>
        <v>农业市农业农村局</v>
      </c>
      <c r="AZ147" s="158" t="str">
        <f t="shared" ref="AZ147:AZ151" si="117">AX147</f>
        <v>农业</v>
      </c>
    </row>
    <row r="148" ht="65.25" customHeight="1" spans="1:52">
      <c r="A148" s="23">
        <f>SUBTOTAL(3,C$7:C148)</f>
        <v>116</v>
      </c>
      <c r="B148" s="55" t="s">
        <v>723</v>
      </c>
      <c r="C148" s="35" t="s">
        <v>562</v>
      </c>
      <c r="D148" s="55" t="s">
        <v>724</v>
      </c>
      <c r="E148" s="35" t="s">
        <v>725</v>
      </c>
      <c r="F148" s="36">
        <v>125980</v>
      </c>
      <c r="G148" s="36">
        <v>33486</v>
      </c>
      <c r="H148" s="134"/>
      <c r="I148" s="581">
        <v>200</v>
      </c>
      <c r="J148" s="581">
        <v>800</v>
      </c>
      <c r="K148" s="581">
        <v>1300</v>
      </c>
      <c r="L148" s="36">
        <v>2000</v>
      </c>
      <c r="M148" s="36"/>
      <c r="N148" s="123" t="s">
        <v>726</v>
      </c>
      <c r="O148" s="133"/>
      <c r="P148" s="134"/>
      <c r="Q148" s="37"/>
      <c r="R148" s="37"/>
      <c r="S148" s="37"/>
      <c r="T148" s="37"/>
      <c r="U148" s="37"/>
      <c r="V148" s="37"/>
      <c r="W148" s="37"/>
      <c r="X148" s="585"/>
      <c r="Y148" s="585"/>
      <c r="Z148" s="770"/>
      <c r="AA148" s="770"/>
      <c r="AB148" s="770"/>
      <c r="AC148" s="770"/>
      <c r="AD148" s="770"/>
      <c r="AE148" s="770"/>
      <c r="AF148" s="770"/>
      <c r="AG148" s="770"/>
      <c r="AH148" s="770"/>
      <c r="AI148" s="770"/>
      <c r="AJ148" s="770"/>
      <c r="AK148" s="770"/>
      <c r="AL148" s="770"/>
      <c r="AM148" s="770"/>
      <c r="AN148" s="770"/>
      <c r="AO148" s="770"/>
      <c r="AP148" s="770"/>
      <c r="AQ148" s="585"/>
      <c r="AR148" s="90" t="s">
        <v>727</v>
      </c>
      <c r="AS148" s="34" t="s">
        <v>728</v>
      </c>
      <c r="AT148" s="34" t="s">
        <v>359</v>
      </c>
      <c r="AU148" s="91"/>
      <c r="AW148" s="158" t="s">
        <v>360</v>
      </c>
      <c r="AX148" s="158" t="s">
        <v>722</v>
      </c>
      <c r="AY148" s="158" t="str">
        <f t="shared" si="116"/>
        <v>农业钦南区</v>
      </c>
      <c r="AZ148" s="158" t="str">
        <f t="shared" si="117"/>
        <v>农业</v>
      </c>
    </row>
    <row r="149" ht="73.5" customHeight="1" spans="1:52">
      <c r="A149" s="23">
        <f>SUBTOTAL(3,C$7:C149)</f>
        <v>117</v>
      </c>
      <c r="B149" s="55" t="s">
        <v>729</v>
      </c>
      <c r="C149" s="35" t="s">
        <v>562</v>
      </c>
      <c r="D149" s="233" t="s">
        <v>730</v>
      </c>
      <c r="E149" s="87" t="s">
        <v>575</v>
      </c>
      <c r="F149" s="234">
        <v>60000</v>
      </c>
      <c r="G149" s="234">
        <v>5000</v>
      </c>
      <c r="H149" s="134"/>
      <c r="I149" s="581">
        <v>560</v>
      </c>
      <c r="J149" s="581">
        <v>1500</v>
      </c>
      <c r="K149" s="581">
        <v>2100</v>
      </c>
      <c r="L149" s="234">
        <v>3000</v>
      </c>
      <c r="M149" s="234"/>
      <c r="N149" s="123" t="s">
        <v>731</v>
      </c>
      <c r="O149" s="133"/>
      <c r="P149" s="134"/>
      <c r="Q149" s="37"/>
      <c r="R149" s="37"/>
      <c r="S149" s="37"/>
      <c r="T149" s="37"/>
      <c r="U149" s="37"/>
      <c r="V149" s="37"/>
      <c r="W149" s="37"/>
      <c r="X149" s="585"/>
      <c r="Y149" s="585"/>
      <c r="Z149" s="770"/>
      <c r="AA149" s="770"/>
      <c r="AB149" s="770"/>
      <c r="AC149" s="770"/>
      <c r="AD149" s="770"/>
      <c r="AE149" s="770"/>
      <c r="AF149" s="770"/>
      <c r="AG149" s="770"/>
      <c r="AH149" s="770"/>
      <c r="AI149" s="770"/>
      <c r="AJ149" s="770"/>
      <c r="AK149" s="770"/>
      <c r="AL149" s="770"/>
      <c r="AM149" s="770"/>
      <c r="AN149" s="770"/>
      <c r="AO149" s="770"/>
      <c r="AP149" s="770"/>
      <c r="AQ149" s="585"/>
      <c r="AR149" s="259" t="s">
        <v>732</v>
      </c>
      <c r="AS149" s="736" t="s">
        <v>733</v>
      </c>
      <c r="AT149" s="34" t="s">
        <v>359</v>
      </c>
      <c r="AU149" s="91"/>
      <c r="AW149" s="158" t="s">
        <v>360</v>
      </c>
      <c r="AX149" s="158" t="s">
        <v>722</v>
      </c>
      <c r="AY149" s="158" t="str">
        <f t="shared" si="116"/>
        <v>农业钦南区</v>
      </c>
      <c r="AZ149" s="158" t="str">
        <f t="shared" si="117"/>
        <v>农业</v>
      </c>
    </row>
    <row r="150" ht="60" customHeight="1" spans="1:52">
      <c r="A150" s="23">
        <f>SUBTOTAL(3,C$7:C150)</f>
        <v>118</v>
      </c>
      <c r="B150" s="55" t="s">
        <v>734</v>
      </c>
      <c r="C150" s="35" t="s">
        <v>562</v>
      </c>
      <c r="D150" s="55" t="s">
        <v>735</v>
      </c>
      <c r="E150" s="35" t="s">
        <v>661</v>
      </c>
      <c r="F150" s="36">
        <v>22000</v>
      </c>
      <c r="G150" s="36">
        <v>3000</v>
      </c>
      <c r="H150" s="134"/>
      <c r="I150" s="581">
        <v>1000</v>
      </c>
      <c r="J150" s="581">
        <v>2500</v>
      </c>
      <c r="K150" s="581">
        <v>4200</v>
      </c>
      <c r="L150" s="36">
        <v>1000</v>
      </c>
      <c r="M150" s="36"/>
      <c r="N150" s="123" t="s">
        <v>736</v>
      </c>
      <c r="O150" s="133"/>
      <c r="P150" s="134"/>
      <c r="Q150" s="37"/>
      <c r="R150" s="37"/>
      <c r="S150" s="37"/>
      <c r="T150" s="37"/>
      <c r="U150" s="37"/>
      <c r="V150" s="37"/>
      <c r="W150" s="37"/>
      <c r="X150" s="585"/>
      <c r="Y150" s="585"/>
      <c r="Z150" s="770"/>
      <c r="AA150" s="770"/>
      <c r="AB150" s="770"/>
      <c r="AC150" s="770"/>
      <c r="AD150" s="770"/>
      <c r="AE150" s="770"/>
      <c r="AF150" s="770"/>
      <c r="AG150" s="770"/>
      <c r="AH150" s="770"/>
      <c r="AI150" s="770"/>
      <c r="AJ150" s="770"/>
      <c r="AK150" s="770"/>
      <c r="AL150" s="770"/>
      <c r="AM150" s="770"/>
      <c r="AN150" s="770"/>
      <c r="AO150" s="770"/>
      <c r="AP150" s="770"/>
      <c r="AQ150" s="585"/>
      <c r="AR150" s="90" t="s">
        <v>737</v>
      </c>
      <c r="AS150" s="34" t="s">
        <v>738</v>
      </c>
      <c r="AT150" s="34" t="s">
        <v>359</v>
      </c>
      <c r="AU150" s="91"/>
      <c r="AW150" s="158" t="s">
        <v>360</v>
      </c>
      <c r="AX150" s="158" t="s">
        <v>722</v>
      </c>
      <c r="AY150" s="158" t="str">
        <f t="shared" si="116"/>
        <v>农业钦南区</v>
      </c>
      <c r="AZ150" s="158" t="str">
        <f t="shared" si="117"/>
        <v>农业</v>
      </c>
    </row>
    <row r="151" ht="80.1" customHeight="1" spans="1:52">
      <c r="A151" s="23">
        <f>SUBTOTAL(3,C$7:C151)</f>
        <v>119</v>
      </c>
      <c r="B151" s="55" t="s">
        <v>739</v>
      </c>
      <c r="C151" s="35" t="s">
        <v>562</v>
      </c>
      <c r="D151" s="60" t="s">
        <v>740</v>
      </c>
      <c r="E151" s="35" t="s">
        <v>588</v>
      </c>
      <c r="F151" s="127">
        <v>19400</v>
      </c>
      <c r="G151" s="127">
        <v>5000</v>
      </c>
      <c r="H151" s="134"/>
      <c r="I151" s="67">
        <v>1200</v>
      </c>
      <c r="J151" s="67">
        <v>2500</v>
      </c>
      <c r="K151" s="67">
        <v>4000</v>
      </c>
      <c r="L151" s="36">
        <v>6000</v>
      </c>
      <c r="M151" s="36"/>
      <c r="N151" s="123" t="s">
        <v>741</v>
      </c>
      <c r="O151" s="133"/>
      <c r="P151" s="134"/>
      <c r="Q151" s="37"/>
      <c r="R151" s="37"/>
      <c r="S151" s="37"/>
      <c r="T151" s="37"/>
      <c r="U151" s="37"/>
      <c r="V151" s="37"/>
      <c r="W151" s="37"/>
      <c r="X151" s="585"/>
      <c r="Y151" s="585"/>
      <c r="Z151" s="770"/>
      <c r="AA151" s="770"/>
      <c r="AB151" s="770"/>
      <c r="AC151" s="770"/>
      <c r="AD151" s="770"/>
      <c r="AE151" s="770"/>
      <c r="AF151" s="770"/>
      <c r="AG151" s="770"/>
      <c r="AH151" s="770"/>
      <c r="AI151" s="770"/>
      <c r="AJ151" s="770"/>
      <c r="AK151" s="770"/>
      <c r="AL151" s="770"/>
      <c r="AM151" s="770"/>
      <c r="AN151" s="770"/>
      <c r="AO151" s="770"/>
      <c r="AP151" s="770"/>
      <c r="AQ151" s="585"/>
      <c r="AR151" s="90" t="s">
        <v>117</v>
      </c>
      <c r="AS151" s="123" t="s">
        <v>742</v>
      </c>
      <c r="AT151" s="34" t="s">
        <v>375</v>
      </c>
      <c r="AU151" s="91"/>
      <c r="AW151" s="158" t="s">
        <v>376</v>
      </c>
      <c r="AX151" s="158" t="s">
        <v>722</v>
      </c>
      <c r="AY151" s="158" t="str">
        <f t="shared" si="116"/>
        <v>农业钦北区</v>
      </c>
      <c r="AZ151" s="158" t="str">
        <f t="shared" si="117"/>
        <v>农业</v>
      </c>
    </row>
    <row r="152" ht="36.95" customHeight="1" spans="1:47">
      <c r="A152" s="551" t="s">
        <v>743</v>
      </c>
      <c r="B152" s="557" t="str">
        <f>"服务业（"&amp;SUBTOTAL(3,C153:C166)&amp;"个）"</f>
        <v>服务业（14个）</v>
      </c>
      <c r="C152" s="557"/>
      <c r="D152" s="557"/>
      <c r="E152" s="551"/>
      <c r="F152" s="134">
        <f>SUM(F153:F166)</f>
        <v>442515</v>
      </c>
      <c r="G152" s="134">
        <f t="shared" ref="G152:AP152" si="118">SUM(G153:G166)</f>
        <v>127856</v>
      </c>
      <c r="H152" s="134"/>
      <c r="I152" s="134">
        <f t="shared" si="118"/>
        <v>9760</v>
      </c>
      <c r="J152" s="134">
        <f t="shared" si="118"/>
        <v>25350</v>
      </c>
      <c r="K152" s="134">
        <f t="shared" si="118"/>
        <v>43200</v>
      </c>
      <c r="L152" s="134">
        <f t="shared" si="118"/>
        <v>61700</v>
      </c>
      <c r="M152" s="134">
        <f t="shared" si="118"/>
        <v>6000</v>
      </c>
      <c r="N152" s="134"/>
      <c r="O152" s="134"/>
      <c r="P152" s="134"/>
      <c r="Q152" s="134"/>
      <c r="R152" s="134"/>
      <c r="S152" s="134"/>
      <c r="T152" s="134"/>
      <c r="U152" s="134"/>
      <c r="V152" s="134"/>
      <c r="W152" s="134"/>
      <c r="X152" s="134"/>
      <c r="Y152" s="134"/>
      <c r="Z152" s="134">
        <f t="shared" si="118"/>
        <v>1012.89</v>
      </c>
      <c r="AA152" s="134">
        <f t="shared" si="118"/>
        <v>179</v>
      </c>
      <c r="AB152" s="134">
        <f t="shared" si="118"/>
        <v>833.89</v>
      </c>
      <c r="AC152" s="134">
        <f t="shared" si="118"/>
        <v>287.1915</v>
      </c>
      <c r="AD152" s="134">
        <f t="shared" si="118"/>
        <v>287.1915</v>
      </c>
      <c r="AE152" s="134">
        <f t="shared" si="118"/>
        <v>0</v>
      </c>
      <c r="AF152" s="134">
        <f t="shared" si="118"/>
        <v>0</v>
      </c>
      <c r="AG152" s="134">
        <f t="shared" si="118"/>
        <v>0</v>
      </c>
      <c r="AH152" s="134">
        <f t="shared" si="118"/>
        <v>0</v>
      </c>
      <c r="AI152" s="134">
        <f t="shared" si="118"/>
        <v>500</v>
      </c>
      <c r="AJ152" s="134">
        <f t="shared" si="118"/>
        <v>0</v>
      </c>
      <c r="AK152" s="134">
        <f t="shared" si="118"/>
        <v>500</v>
      </c>
      <c r="AL152" s="134">
        <f t="shared" si="118"/>
        <v>3396</v>
      </c>
      <c r="AM152" s="134">
        <f t="shared" si="118"/>
        <v>3244</v>
      </c>
      <c r="AN152" s="134">
        <f t="shared" si="118"/>
        <v>0</v>
      </c>
      <c r="AO152" s="134">
        <f t="shared" si="118"/>
        <v>35000</v>
      </c>
      <c r="AP152" s="134">
        <f t="shared" si="118"/>
        <v>8700</v>
      </c>
      <c r="AQ152" s="585"/>
      <c r="AR152" s="90"/>
      <c r="AS152" s="591"/>
      <c r="AT152" s="591"/>
      <c r="AU152" s="91"/>
    </row>
    <row r="153" ht="85.5" customHeight="1" spans="1:52">
      <c r="A153" s="23">
        <f>SUBTOTAL(3,C$7:C153)</f>
        <v>120</v>
      </c>
      <c r="B153" s="717" t="s">
        <v>744</v>
      </c>
      <c r="C153" s="67" t="s">
        <v>562</v>
      </c>
      <c r="D153" s="885" t="s">
        <v>745</v>
      </c>
      <c r="E153" s="35" t="s">
        <v>575</v>
      </c>
      <c r="F153" s="127">
        <v>32500</v>
      </c>
      <c r="G153" s="127">
        <v>5000</v>
      </c>
      <c r="H153" s="134"/>
      <c r="I153" s="930">
        <v>1000</v>
      </c>
      <c r="J153" s="930">
        <v>2500</v>
      </c>
      <c r="K153" s="930">
        <v>5000</v>
      </c>
      <c r="L153" s="127">
        <v>10000</v>
      </c>
      <c r="M153" s="127"/>
      <c r="N153" s="931" t="s">
        <v>746</v>
      </c>
      <c r="O153" s="133"/>
      <c r="P153" s="134"/>
      <c r="Q153" s="37"/>
      <c r="R153" s="37"/>
      <c r="S153" s="37"/>
      <c r="T153" s="37"/>
      <c r="U153" s="37"/>
      <c r="V153" s="37"/>
      <c r="W153" s="37"/>
      <c r="X153" s="585"/>
      <c r="Y153" s="585"/>
      <c r="Z153" s="770"/>
      <c r="AA153" s="770"/>
      <c r="AB153" s="770"/>
      <c r="AC153" s="770"/>
      <c r="AD153" s="770"/>
      <c r="AE153" s="770"/>
      <c r="AF153" s="770"/>
      <c r="AG153" s="770"/>
      <c r="AH153" s="770"/>
      <c r="AI153" s="770"/>
      <c r="AJ153" s="770"/>
      <c r="AK153" s="770"/>
      <c r="AL153" s="770"/>
      <c r="AM153" s="770"/>
      <c r="AN153" s="770"/>
      <c r="AO153" s="770"/>
      <c r="AP153" s="770"/>
      <c r="AQ153" s="585"/>
      <c r="AR153" s="90" t="s">
        <v>747</v>
      </c>
      <c r="AS153" s="34" t="s">
        <v>748</v>
      </c>
      <c r="AT153" s="131" t="s">
        <v>749</v>
      </c>
      <c r="AU153" s="91"/>
      <c r="AW153" s="158" t="s">
        <v>750</v>
      </c>
      <c r="AX153" s="158" t="s">
        <v>459</v>
      </c>
      <c r="AY153" s="158" t="str">
        <f t="shared" ref="AY153:AY166" si="119">AX153&amp;AW153</f>
        <v>服务业市卫健委</v>
      </c>
      <c r="AZ153" s="158" t="str">
        <f t="shared" ref="AZ153:AZ166" si="120">AX153</f>
        <v>服务业</v>
      </c>
    </row>
    <row r="154" ht="80.1" customHeight="1" spans="1:52">
      <c r="A154" s="23">
        <f>SUBTOTAL(3,C$7:C154)</f>
        <v>121</v>
      </c>
      <c r="B154" s="55" t="s">
        <v>751</v>
      </c>
      <c r="C154" s="23" t="s">
        <v>562</v>
      </c>
      <c r="D154" s="55" t="s">
        <v>752</v>
      </c>
      <c r="E154" s="35" t="s">
        <v>575</v>
      </c>
      <c r="F154" s="38">
        <v>28000</v>
      </c>
      <c r="G154" s="67">
        <v>5989</v>
      </c>
      <c r="H154" s="134"/>
      <c r="I154" s="67">
        <v>1000</v>
      </c>
      <c r="J154" s="67">
        <v>3200</v>
      </c>
      <c r="K154" s="67">
        <v>4500</v>
      </c>
      <c r="L154" s="67">
        <v>6000</v>
      </c>
      <c r="M154" s="67"/>
      <c r="N154" s="123" t="s">
        <v>753</v>
      </c>
      <c r="O154" s="133"/>
      <c r="P154" s="134"/>
      <c r="Q154" s="37"/>
      <c r="R154" s="37"/>
      <c r="S154" s="37"/>
      <c r="T154" s="37"/>
      <c r="U154" s="37"/>
      <c r="V154" s="37"/>
      <c r="W154" s="37"/>
      <c r="X154" s="585"/>
      <c r="Y154" s="585"/>
      <c r="Z154" s="770"/>
      <c r="AA154" s="770"/>
      <c r="AB154" s="770"/>
      <c r="AC154" s="770"/>
      <c r="AD154" s="770"/>
      <c r="AE154" s="770"/>
      <c r="AF154" s="770"/>
      <c r="AG154" s="770"/>
      <c r="AH154" s="770"/>
      <c r="AI154" s="770"/>
      <c r="AJ154" s="770"/>
      <c r="AK154" s="770"/>
      <c r="AL154" s="770"/>
      <c r="AM154" s="770"/>
      <c r="AN154" s="770"/>
      <c r="AO154" s="770"/>
      <c r="AP154" s="770"/>
      <c r="AQ154" s="585"/>
      <c r="AR154" s="90" t="s">
        <v>117</v>
      </c>
      <c r="AS154" s="34" t="s">
        <v>754</v>
      </c>
      <c r="AT154" s="66" t="s">
        <v>166</v>
      </c>
      <c r="AU154" s="91"/>
      <c r="AW154" s="158" t="s">
        <v>167</v>
      </c>
      <c r="AX154" s="158" t="s">
        <v>459</v>
      </c>
      <c r="AY154" s="158" t="str">
        <f t="shared" si="119"/>
        <v>服务业保税港</v>
      </c>
      <c r="AZ154" s="158" t="str">
        <f t="shared" si="120"/>
        <v>服务业</v>
      </c>
    </row>
    <row r="155" ht="78" customHeight="1" spans="1:52">
      <c r="A155" s="23">
        <f>SUBTOTAL(3,C$7:C155)</f>
        <v>122</v>
      </c>
      <c r="B155" s="88" t="s">
        <v>755</v>
      </c>
      <c r="C155" s="23" t="s">
        <v>562</v>
      </c>
      <c r="D155" s="88" t="s">
        <v>756</v>
      </c>
      <c r="E155" s="23" t="s">
        <v>575</v>
      </c>
      <c r="F155" s="67">
        <v>16800</v>
      </c>
      <c r="G155" s="67">
        <v>790</v>
      </c>
      <c r="H155" s="134"/>
      <c r="I155" s="67"/>
      <c r="J155" s="67"/>
      <c r="K155" s="67">
        <v>2000</v>
      </c>
      <c r="L155" s="67">
        <v>6000</v>
      </c>
      <c r="M155" s="67"/>
      <c r="N155" s="123" t="s">
        <v>757</v>
      </c>
      <c r="O155" s="133"/>
      <c r="P155" s="134"/>
      <c r="Q155" s="37"/>
      <c r="R155" s="37"/>
      <c r="S155" s="37"/>
      <c r="T155" s="37"/>
      <c r="U155" s="37"/>
      <c r="V155" s="37"/>
      <c r="W155" s="37"/>
      <c r="X155" s="585"/>
      <c r="Y155" s="585"/>
      <c r="Z155" s="770"/>
      <c r="AA155" s="770"/>
      <c r="AB155" s="770"/>
      <c r="AC155" s="770"/>
      <c r="AD155" s="770"/>
      <c r="AE155" s="770"/>
      <c r="AF155" s="770"/>
      <c r="AG155" s="770"/>
      <c r="AH155" s="770"/>
      <c r="AI155" s="770"/>
      <c r="AJ155" s="770"/>
      <c r="AK155" s="770"/>
      <c r="AL155" s="770"/>
      <c r="AM155" s="770"/>
      <c r="AN155" s="770"/>
      <c r="AO155" s="770"/>
      <c r="AP155" s="770"/>
      <c r="AQ155" s="585"/>
      <c r="AR155" s="88" t="s">
        <v>171</v>
      </c>
      <c r="AS155" s="66" t="s">
        <v>172</v>
      </c>
      <c r="AT155" s="66" t="s">
        <v>166</v>
      </c>
      <c r="AU155" s="91"/>
      <c r="AW155" s="158" t="s">
        <v>167</v>
      </c>
      <c r="AX155" s="158" t="s">
        <v>459</v>
      </c>
      <c r="AY155" s="158" t="str">
        <f t="shared" si="119"/>
        <v>服务业保税港</v>
      </c>
      <c r="AZ155" s="158" t="str">
        <f t="shared" si="120"/>
        <v>服务业</v>
      </c>
    </row>
    <row r="156" ht="79.5" customHeight="1" spans="1:52">
      <c r="A156" s="23">
        <f>SUBTOTAL(3,C$7:C156)</f>
        <v>123</v>
      </c>
      <c r="B156" s="60" t="s">
        <v>758</v>
      </c>
      <c r="C156" s="23" t="s">
        <v>562</v>
      </c>
      <c r="D156" s="88" t="s">
        <v>759</v>
      </c>
      <c r="E156" s="23" t="s">
        <v>575</v>
      </c>
      <c r="F156" s="67">
        <v>14500</v>
      </c>
      <c r="G156" s="67">
        <v>5819</v>
      </c>
      <c r="H156" s="134"/>
      <c r="I156" s="67">
        <v>1000</v>
      </c>
      <c r="J156" s="67">
        <v>3000</v>
      </c>
      <c r="K156" s="67">
        <v>5000</v>
      </c>
      <c r="L156" s="67">
        <v>8000</v>
      </c>
      <c r="M156" s="67">
        <v>6000</v>
      </c>
      <c r="N156" s="123" t="s">
        <v>760</v>
      </c>
      <c r="O156" s="133"/>
      <c r="P156" s="134"/>
      <c r="Q156" s="37"/>
      <c r="R156" s="37"/>
      <c r="S156" s="37"/>
      <c r="T156" s="37"/>
      <c r="U156" s="37"/>
      <c r="V156" s="37"/>
      <c r="W156" s="37"/>
      <c r="X156" s="585"/>
      <c r="Y156" s="585"/>
      <c r="Z156" s="770"/>
      <c r="AA156" s="770"/>
      <c r="AB156" s="770"/>
      <c r="AC156" s="770"/>
      <c r="AD156" s="770"/>
      <c r="AE156" s="770"/>
      <c r="AF156" s="770"/>
      <c r="AG156" s="770"/>
      <c r="AH156" s="770"/>
      <c r="AI156" s="770"/>
      <c r="AJ156" s="770"/>
      <c r="AK156" s="770"/>
      <c r="AL156" s="132">
        <v>3396</v>
      </c>
      <c r="AM156" s="770"/>
      <c r="AN156" s="770"/>
      <c r="AO156" s="770"/>
      <c r="AP156" s="770"/>
      <c r="AQ156" s="585"/>
      <c r="AR156" s="90" t="s">
        <v>117</v>
      </c>
      <c r="AS156" s="123" t="s">
        <v>761</v>
      </c>
      <c r="AT156" s="123" t="s">
        <v>166</v>
      </c>
      <c r="AU156" s="91" t="s">
        <v>762</v>
      </c>
      <c r="AW156" s="158" t="s">
        <v>167</v>
      </c>
      <c r="AX156" s="158" t="s">
        <v>459</v>
      </c>
      <c r="AY156" s="158" t="str">
        <f t="shared" si="119"/>
        <v>服务业保税港</v>
      </c>
      <c r="AZ156" s="158" t="str">
        <f t="shared" si="120"/>
        <v>服务业</v>
      </c>
    </row>
    <row r="157" ht="80.25" customHeight="1" spans="1:52">
      <c r="A157" s="23">
        <f>SUBTOTAL(3,C$7:C157)</f>
        <v>124</v>
      </c>
      <c r="B157" s="55" t="s">
        <v>763</v>
      </c>
      <c r="C157" s="35" t="s">
        <v>562</v>
      </c>
      <c r="D157" s="55" t="s">
        <v>764</v>
      </c>
      <c r="E157" s="35" t="s">
        <v>575</v>
      </c>
      <c r="F157" s="38">
        <v>94500</v>
      </c>
      <c r="G157" s="38">
        <v>20000</v>
      </c>
      <c r="H157" s="134"/>
      <c r="I157" s="852">
        <v>1000</v>
      </c>
      <c r="J157" s="852">
        <v>2500</v>
      </c>
      <c r="K157" s="852">
        <v>4200</v>
      </c>
      <c r="L157" s="852">
        <v>5000</v>
      </c>
      <c r="M157" s="852"/>
      <c r="N157" s="123" t="s">
        <v>765</v>
      </c>
      <c r="O157" s="133"/>
      <c r="P157" s="134"/>
      <c r="Q157" s="37"/>
      <c r="R157" s="37"/>
      <c r="S157" s="37"/>
      <c r="T157" s="37"/>
      <c r="U157" s="37"/>
      <c r="V157" s="37"/>
      <c r="W157" s="37"/>
      <c r="X157" s="585"/>
      <c r="Y157" s="585"/>
      <c r="Z157" s="863">
        <v>139</v>
      </c>
      <c r="AA157" s="863">
        <v>139</v>
      </c>
      <c r="AB157" s="770"/>
      <c r="AC157" s="770"/>
      <c r="AD157" s="770"/>
      <c r="AE157" s="770"/>
      <c r="AF157" s="770"/>
      <c r="AG157" s="770"/>
      <c r="AH157" s="770"/>
      <c r="AI157" s="770"/>
      <c r="AJ157" s="770"/>
      <c r="AK157" s="770"/>
      <c r="AL157" s="863"/>
      <c r="AM157" s="863">
        <v>3244</v>
      </c>
      <c r="AN157" s="863"/>
      <c r="AO157" s="863"/>
      <c r="AP157" s="863">
        <v>5000</v>
      </c>
      <c r="AQ157" s="585"/>
      <c r="AR157" s="90" t="s">
        <v>117</v>
      </c>
      <c r="AS157" s="249" t="s">
        <v>766</v>
      </c>
      <c r="AT157" s="131" t="s">
        <v>185</v>
      </c>
      <c r="AU157" s="270" t="s">
        <v>767</v>
      </c>
      <c r="AW157" s="158" t="s">
        <v>186</v>
      </c>
      <c r="AX157" s="158" t="s">
        <v>459</v>
      </c>
      <c r="AY157" s="158" t="str">
        <f t="shared" si="119"/>
        <v>服务业中马园</v>
      </c>
      <c r="AZ157" s="158" t="str">
        <f t="shared" si="120"/>
        <v>服务业</v>
      </c>
    </row>
    <row r="158" ht="90" customHeight="1" spans="1:52">
      <c r="A158" s="23">
        <f>SUBTOTAL(3,C$7:C158)</f>
        <v>125</v>
      </c>
      <c r="B158" s="54" t="s">
        <v>768</v>
      </c>
      <c r="C158" s="67" t="s">
        <v>562</v>
      </c>
      <c r="D158" s="54" t="s">
        <v>769</v>
      </c>
      <c r="E158" s="67" t="s">
        <v>575</v>
      </c>
      <c r="F158" s="67">
        <v>40000</v>
      </c>
      <c r="G158" s="67">
        <v>35000</v>
      </c>
      <c r="H158" s="134"/>
      <c r="I158" s="67">
        <v>700</v>
      </c>
      <c r="J158" s="67">
        <v>1700</v>
      </c>
      <c r="K158" s="67">
        <v>2700</v>
      </c>
      <c r="L158" s="67">
        <v>3700</v>
      </c>
      <c r="M158" s="67"/>
      <c r="N158" s="123" t="s">
        <v>770</v>
      </c>
      <c r="O158" s="133"/>
      <c r="P158" s="134"/>
      <c r="Q158" s="37"/>
      <c r="R158" s="37"/>
      <c r="S158" s="37"/>
      <c r="T158" s="37"/>
      <c r="U158" s="37"/>
      <c r="V158" s="37"/>
      <c r="W158" s="37"/>
      <c r="X158" s="585"/>
      <c r="Y158" s="585"/>
      <c r="Z158" s="770"/>
      <c r="AA158" s="770"/>
      <c r="AB158" s="770"/>
      <c r="AC158" s="770"/>
      <c r="AD158" s="770"/>
      <c r="AE158" s="770"/>
      <c r="AF158" s="770"/>
      <c r="AG158" s="770"/>
      <c r="AH158" s="770"/>
      <c r="AI158" s="770"/>
      <c r="AJ158" s="770"/>
      <c r="AK158" s="770"/>
      <c r="AL158" s="770"/>
      <c r="AM158" s="770"/>
      <c r="AN158" s="770"/>
      <c r="AO158" s="134">
        <v>35000</v>
      </c>
      <c r="AP158" s="132">
        <v>3700</v>
      </c>
      <c r="AQ158" s="585"/>
      <c r="AR158" s="90" t="s">
        <v>771</v>
      </c>
      <c r="AS158" s="123" t="s">
        <v>772</v>
      </c>
      <c r="AT158" s="123" t="s">
        <v>240</v>
      </c>
      <c r="AU158" s="91"/>
      <c r="AW158" s="158" t="s">
        <v>241</v>
      </c>
      <c r="AX158" s="158" t="s">
        <v>459</v>
      </c>
      <c r="AY158" s="158" t="str">
        <f t="shared" si="119"/>
        <v>服务业高新区</v>
      </c>
      <c r="AZ158" s="158" t="str">
        <f t="shared" si="120"/>
        <v>服务业</v>
      </c>
    </row>
    <row r="159" ht="72.75" customHeight="1" spans="1:52">
      <c r="A159" s="23">
        <f>SUBTOTAL(3,C$7:C159)</f>
        <v>126</v>
      </c>
      <c r="B159" s="55" t="s">
        <v>773</v>
      </c>
      <c r="C159" s="35" t="s">
        <v>562</v>
      </c>
      <c r="D159" s="55" t="s">
        <v>774</v>
      </c>
      <c r="E159" s="35" t="s">
        <v>575</v>
      </c>
      <c r="F159" s="36">
        <v>28950</v>
      </c>
      <c r="G159" s="36">
        <v>7272</v>
      </c>
      <c r="H159" s="134"/>
      <c r="I159" s="67">
        <v>3000</v>
      </c>
      <c r="J159" s="67">
        <v>7000</v>
      </c>
      <c r="K159" s="67">
        <v>10000</v>
      </c>
      <c r="L159" s="36">
        <v>10000</v>
      </c>
      <c r="M159" s="36"/>
      <c r="N159" s="123" t="s">
        <v>775</v>
      </c>
      <c r="O159" s="133"/>
      <c r="P159" s="134"/>
      <c r="Q159" s="37"/>
      <c r="R159" s="37"/>
      <c r="S159" s="37"/>
      <c r="T159" s="37"/>
      <c r="U159" s="37"/>
      <c r="V159" s="37"/>
      <c r="W159" s="37"/>
      <c r="X159" s="585"/>
      <c r="Y159" s="585"/>
      <c r="Z159" s="770"/>
      <c r="AA159" s="770"/>
      <c r="AB159" s="770"/>
      <c r="AC159" s="770"/>
      <c r="AD159" s="770"/>
      <c r="AE159" s="770"/>
      <c r="AF159" s="770"/>
      <c r="AG159" s="770"/>
      <c r="AH159" s="770"/>
      <c r="AI159" s="770"/>
      <c r="AJ159" s="770"/>
      <c r="AK159" s="770"/>
      <c r="AL159" s="770"/>
      <c r="AM159" s="770"/>
      <c r="AN159" s="770"/>
      <c r="AO159" s="770"/>
      <c r="AP159" s="770"/>
      <c r="AQ159" s="585"/>
      <c r="AR159" s="90" t="s">
        <v>117</v>
      </c>
      <c r="AS159" s="34" t="s">
        <v>776</v>
      </c>
      <c r="AT159" s="34" t="s">
        <v>269</v>
      </c>
      <c r="AU159" s="91"/>
      <c r="AW159" s="158" t="s">
        <v>270</v>
      </c>
      <c r="AX159" s="158" t="s">
        <v>459</v>
      </c>
      <c r="AY159" s="158" t="str">
        <f t="shared" si="119"/>
        <v>服务业灵山县</v>
      </c>
      <c r="AZ159" s="158" t="str">
        <f t="shared" si="120"/>
        <v>服务业</v>
      </c>
    </row>
    <row r="160" ht="69.75" customHeight="1" spans="1:52">
      <c r="A160" s="23">
        <f>SUBTOTAL(3,C$7:C160)</f>
        <v>127</v>
      </c>
      <c r="B160" s="55" t="s">
        <v>777</v>
      </c>
      <c r="C160" s="35" t="s">
        <v>562</v>
      </c>
      <c r="D160" s="55" t="s">
        <v>778</v>
      </c>
      <c r="E160" s="35" t="s">
        <v>564</v>
      </c>
      <c r="F160" s="36">
        <v>7000</v>
      </c>
      <c r="G160" s="36">
        <v>2000</v>
      </c>
      <c r="H160" s="134"/>
      <c r="I160" s="67">
        <v>500</v>
      </c>
      <c r="J160" s="67">
        <v>1000</v>
      </c>
      <c r="K160" s="67">
        <v>1500</v>
      </c>
      <c r="L160" s="36">
        <v>2000</v>
      </c>
      <c r="M160" s="36"/>
      <c r="N160" s="123" t="s">
        <v>775</v>
      </c>
      <c r="O160" s="133"/>
      <c r="P160" s="134"/>
      <c r="Q160" s="37"/>
      <c r="R160" s="37"/>
      <c r="S160" s="37"/>
      <c r="T160" s="37"/>
      <c r="U160" s="37"/>
      <c r="V160" s="37"/>
      <c r="W160" s="37"/>
      <c r="X160" s="585"/>
      <c r="Y160" s="585"/>
      <c r="Z160" s="770"/>
      <c r="AA160" s="770"/>
      <c r="AB160" s="770"/>
      <c r="AC160" s="770"/>
      <c r="AD160" s="770"/>
      <c r="AE160" s="770"/>
      <c r="AF160" s="770"/>
      <c r="AG160" s="770"/>
      <c r="AH160" s="770"/>
      <c r="AI160" s="770"/>
      <c r="AJ160" s="770"/>
      <c r="AK160" s="770"/>
      <c r="AL160" s="770"/>
      <c r="AM160" s="770"/>
      <c r="AN160" s="770"/>
      <c r="AO160" s="770"/>
      <c r="AP160" s="770"/>
      <c r="AQ160" s="585"/>
      <c r="AR160" s="90" t="s">
        <v>117</v>
      </c>
      <c r="AS160" s="34" t="s">
        <v>779</v>
      </c>
      <c r="AT160" s="34" t="s">
        <v>269</v>
      </c>
      <c r="AU160" s="91"/>
      <c r="AW160" s="158" t="s">
        <v>270</v>
      </c>
      <c r="AX160" s="158" t="s">
        <v>459</v>
      </c>
      <c r="AY160" s="158" t="str">
        <f t="shared" si="119"/>
        <v>服务业灵山县</v>
      </c>
      <c r="AZ160" s="158" t="str">
        <f t="shared" si="120"/>
        <v>服务业</v>
      </c>
    </row>
    <row r="161" ht="80.1" customHeight="1" spans="1:52">
      <c r="A161" s="23">
        <f>SUBTOTAL(3,C$7:C161)</f>
        <v>128</v>
      </c>
      <c r="B161" s="55" t="s">
        <v>780</v>
      </c>
      <c r="C161" s="35" t="s">
        <v>562</v>
      </c>
      <c r="D161" s="830" t="s">
        <v>781</v>
      </c>
      <c r="E161" s="35" t="s">
        <v>782</v>
      </c>
      <c r="F161" s="35">
        <v>56385</v>
      </c>
      <c r="G161" s="35">
        <v>10000</v>
      </c>
      <c r="H161" s="134"/>
      <c r="I161" s="67">
        <v>300</v>
      </c>
      <c r="J161" s="67">
        <v>1000</v>
      </c>
      <c r="K161" s="67">
        <v>2500</v>
      </c>
      <c r="L161" s="35">
        <v>3000</v>
      </c>
      <c r="M161" s="35"/>
      <c r="N161" s="123" t="s">
        <v>783</v>
      </c>
      <c r="O161" s="133"/>
      <c r="P161" s="134"/>
      <c r="Q161" s="37"/>
      <c r="R161" s="37"/>
      <c r="S161" s="37"/>
      <c r="T161" s="37"/>
      <c r="U161" s="37"/>
      <c r="V161" s="37"/>
      <c r="W161" s="37"/>
      <c r="X161" s="585"/>
      <c r="Y161" s="585"/>
      <c r="Z161" s="132">
        <v>373.89</v>
      </c>
      <c r="AA161" s="132">
        <v>40</v>
      </c>
      <c r="AB161" s="132">
        <v>333.89</v>
      </c>
      <c r="AC161" s="132">
        <v>287.1915</v>
      </c>
      <c r="AD161" s="132">
        <v>287.1915</v>
      </c>
      <c r="AE161" s="132"/>
      <c r="AF161" s="132"/>
      <c r="AG161" s="132"/>
      <c r="AH161" s="132"/>
      <c r="AI161" s="132"/>
      <c r="AJ161" s="132"/>
      <c r="AK161" s="132"/>
      <c r="AL161" s="770"/>
      <c r="AM161" s="770"/>
      <c r="AN161" s="770"/>
      <c r="AO161" s="770"/>
      <c r="AP161" s="770"/>
      <c r="AQ161" s="585"/>
      <c r="AR161" s="90" t="s">
        <v>784</v>
      </c>
      <c r="AS161" s="882" t="s">
        <v>785</v>
      </c>
      <c r="AT161" s="34" t="s">
        <v>317</v>
      </c>
      <c r="AU161" s="91"/>
      <c r="AW161" s="158" t="s">
        <v>318</v>
      </c>
      <c r="AX161" s="158" t="s">
        <v>459</v>
      </c>
      <c r="AY161" s="158" t="str">
        <f t="shared" si="119"/>
        <v>服务业浦北县</v>
      </c>
      <c r="AZ161" s="158" t="str">
        <f t="shared" si="120"/>
        <v>服务业</v>
      </c>
    </row>
    <row r="162" ht="90" customHeight="1" spans="1:52">
      <c r="A162" s="23">
        <f>SUBTOTAL(3,C$7:C162)</f>
        <v>129</v>
      </c>
      <c r="B162" s="55" t="s">
        <v>786</v>
      </c>
      <c r="C162" s="35" t="s">
        <v>562</v>
      </c>
      <c r="D162" s="830" t="s">
        <v>787</v>
      </c>
      <c r="E162" s="35" t="s">
        <v>575</v>
      </c>
      <c r="F162" s="35">
        <v>65680</v>
      </c>
      <c r="G162" s="35">
        <v>20000</v>
      </c>
      <c r="H162" s="134"/>
      <c r="I162" s="67">
        <v>200</v>
      </c>
      <c r="J162" s="67">
        <v>500</v>
      </c>
      <c r="K162" s="67">
        <v>700</v>
      </c>
      <c r="L162" s="35">
        <v>1000</v>
      </c>
      <c r="M162" s="35"/>
      <c r="N162" s="123" t="s">
        <v>788</v>
      </c>
      <c r="O162" s="133"/>
      <c r="P162" s="134"/>
      <c r="Q162" s="37"/>
      <c r="R162" s="37"/>
      <c r="S162" s="37"/>
      <c r="T162" s="37"/>
      <c r="U162" s="37"/>
      <c r="V162" s="37"/>
      <c r="W162" s="37"/>
      <c r="X162" s="585"/>
      <c r="Y162" s="585"/>
      <c r="Z162" s="770"/>
      <c r="AA162" s="770"/>
      <c r="AB162" s="770"/>
      <c r="AC162" s="770"/>
      <c r="AD162" s="770"/>
      <c r="AE162" s="770"/>
      <c r="AF162" s="770"/>
      <c r="AG162" s="770"/>
      <c r="AH162" s="770"/>
      <c r="AI162" s="770"/>
      <c r="AJ162" s="770"/>
      <c r="AK162" s="770"/>
      <c r="AL162" s="770"/>
      <c r="AM162" s="770"/>
      <c r="AN162" s="770"/>
      <c r="AO162" s="770"/>
      <c r="AP162" s="770"/>
      <c r="AQ162" s="585"/>
      <c r="AR162" s="90" t="s">
        <v>789</v>
      </c>
      <c r="AS162" s="882" t="s">
        <v>785</v>
      </c>
      <c r="AT162" s="34" t="s">
        <v>317</v>
      </c>
      <c r="AU162" s="91"/>
      <c r="AW162" s="158" t="s">
        <v>318</v>
      </c>
      <c r="AX162" s="158" t="s">
        <v>459</v>
      </c>
      <c r="AY162" s="158" t="str">
        <f t="shared" si="119"/>
        <v>服务业浦北县</v>
      </c>
      <c r="AZ162" s="158" t="str">
        <f t="shared" si="120"/>
        <v>服务业</v>
      </c>
    </row>
    <row r="163" ht="75" customHeight="1" spans="1:52">
      <c r="A163" s="23">
        <f>SUBTOTAL(3,C$7:C163)</f>
        <v>130</v>
      </c>
      <c r="B163" s="60" t="s">
        <v>790</v>
      </c>
      <c r="C163" s="35" t="s">
        <v>562</v>
      </c>
      <c r="D163" s="830" t="s">
        <v>791</v>
      </c>
      <c r="E163" s="35" t="s">
        <v>575</v>
      </c>
      <c r="F163" s="35">
        <v>15000</v>
      </c>
      <c r="G163" s="35">
        <v>6080</v>
      </c>
      <c r="H163" s="134"/>
      <c r="I163" s="67">
        <v>300</v>
      </c>
      <c r="J163" s="67">
        <v>800</v>
      </c>
      <c r="K163" s="67">
        <v>1300</v>
      </c>
      <c r="L163" s="35">
        <v>2000</v>
      </c>
      <c r="M163" s="35"/>
      <c r="N163" s="123" t="s">
        <v>792</v>
      </c>
      <c r="O163" s="133"/>
      <c r="P163" s="134"/>
      <c r="Q163" s="37"/>
      <c r="R163" s="37"/>
      <c r="S163" s="37"/>
      <c r="T163" s="37"/>
      <c r="U163" s="37"/>
      <c r="V163" s="37"/>
      <c r="W163" s="37"/>
      <c r="X163" s="585"/>
      <c r="Y163" s="585"/>
      <c r="Z163" s="770"/>
      <c r="AA163" s="770"/>
      <c r="AB163" s="770"/>
      <c r="AC163" s="770"/>
      <c r="AD163" s="770"/>
      <c r="AE163" s="770"/>
      <c r="AF163" s="770"/>
      <c r="AG163" s="770"/>
      <c r="AH163" s="770"/>
      <c r="AI163" s="770"/>
      <c r="AJ163" s="770"/>
      <c r="AK163" s="770"/>
      <c r="AL163" s="770"/>
      <c r="AM163" s="770"/>
      <c r="AN163" s="770"/>
      <c r="AO163" s="770"/>
      <c r="AP163" s="770"/>
      <c r="AQ163" s="585"/>
      <c r="AR163" s="90" t="s">
        <v>793</v>
      </c>
      <c r="AS163" s="882" t="s">
        <v>794</v>
      </c>
      <c r="AT163" s="34" t="s">
        <v>317</v>
      </c>
      <c r="AU163" s="91"/>
      <c r="AW163" s="158" t="s">
        <v>318</v>
      </c>
      <c r="AX163" s="158" t="s">
        <v>459</v>
      </c>
      <c r="AY163" s="158" t="str">
        <f t="shared" si="119"/>
        <v>服务业浦北县</v>
      </c>
      <c r="AZ163" s="158" t="str">
        <f t="shared" si="120"/>
        <v>服务业</v>
      </c>
    </row>
    <row r="164" ht="82.5" customHeight="1" spans="1:52">
      <c r="A164" s="23">
        <f>SUBTOTAL(3,C$11:C164)</f>
        <v>131</v>
      </c>
      <c r="B164" s="55" t="s">
        <v>795</v>
      </c>
      <c r="C164" s="35" t="s">
        <v>562</v>
      </c>
      <c r="D164" s="830" t="s">
        <v>796</v>
      </c>
      <c r="E164" s="35" t="s">
        <v>604</v>
      </c>
      <c r="F164" s="35">
        <v>5200</v>
      </c>
      <c r="G164" s="35">
        <v>1520</v>
      </c>
      <c r="H164" s="134"/>
      <c r="I164" s="67"/>
      <c r="J164" s="67">
        <v>100</v>
      </c>
      <c r="K164" s="67">
        <v>300</v>
      </c>
      <c r="L164" s="35">
        <v>500</v>
      </c>
      <c r="M164" s="35"/>
      <c r="N164" s="123" t="s">
        <v>797</v>
      </c>
      <c r="O164" s="133"/>
      <c r="P164" s="134"/>
      <c r="Q164" s="37"/>
      <c r="R164" s="37"/>
      <c r="S164" s="37"/>
      <c r="T164" s="37"/>
      <c r="U164" s="37"/>
      <c r="V164" s="37"/>
      <c r="W164" s="37"/>
      <c r="X164" s="585"/>
      <c r="Y164" s="585"/>
      <c r="Z164" s="132">
        <v>500</v>
      </c>
      <c r="AA164" s="132"/>
      <c r="AB164" s="132">
        <v>500</v>
      </c>
      <c r="AC164" s="132"/>
      <c r="AD164" s="132"/>
      <c r="AE164" s="132"/>
      <c r="AF164" s="132"/>
      <c r="AG164" s="132"/>
      <c r="AH164" s="132"/>
      <c r="AI164" s="132">
        <v>500</v>
      </c>
      <c r="AJ164" s="132"/>
      <c r="AK164" s="132">
        <v>500</v>
      </c>
      <c r="AL164" s="770"/>
      <c r="AM164" s="770"/>
      <c r="AN164" s="770"/>
      <c r="AO164" s="770"/>
      <c r="AP164" s="770"/>
      <c r="AQ164" s="585"/>
      <c r="AR164" s="90" t="s">
        <v>798</v>
      </c>
      <c r="AS164" s="882" t="s">
        <v>785</v>
      </c>
      <c r="AT164" s="34" t="s">
        <v>317</v>
      </c>
      <c r="AU164" s="91"/>
      <c r="AW164" s="158" t="s">
        <v>318</v>
      </c>
      <c r="AX164" s="158" t="s">
        <v>459</v>
      </c>
      <c r="AY164" s="158" t="str">
        <f t="shared" si="119"/>
        <v>服务业浦北县</v>
      </c>
      <c r="AZ164" s="158" t="str">
        <f t="shared" si="120"/>
        <v>服务业</v>
      </c>
    </row>
    <row r="165" ht="69" customHeight="1" spans="1:52">
      <c r="A165" s="23">
        <f>SUBTOTAL(3,C$7:C165)</f>
        <v>132</v>
      </c>
      <c r="B165" s="55" t="s">
        <v>799</v>
      </c>
      <c r="C165" s="35" t="s">
        <v>562</v>
      </c>
      <c r="D165" s="55" t="s">
        <v>800</v>
      </c>
      <c r="E165" s="35" t="s">
        <v>564</v>
      </c>
      <c r="F165" s="36">
        <v>18000</v>
      </c>
      <c r="G165" s="36">
        <v>7900</v>
      </c>
      <c r="H165" s="134"/>
      <c r="I165" s="67">
        <v>260</v>
      </c>
      <c r="J165" s="67">
        <v>850</v>
      </c>
      <c r="K165" s="67">
        <v>1500</v>
      </c>
      <c r="L165" s="36">
        <v>2000</v>
      </c>
      <c r="M165" s="36"/>
      <c r="N165" s="123" t="s">
        <v>801</v>
      </c>
      <c r="O165" s="133"/>
      <c r="P165" s="134"/>
      <c r="Q165" s="37"/>
      <c r="R165" s="37"/>
      <c r="S165" s="37"/>
      <c r="T165" s="37"/>
      <c r="U165" s="37"/>
      <c r="V165" s="37"/>
      <c r="W165" s="37"/>
      <c r="X165" s="585"/>
      <c r="Y165" s="585"/>
      <c r="Z165" s="770"/>
      <c r="AA165" s="770"/>
      <c r="AB165" s="770"/>
      <c r="AC165" s="770"/>
      <c r="AD165" s="770"/>
      <c r="AE165" s="770"/>
      <c r="AF165" s="770"/>
      <c r="AG165" s="770"/>
      <c r="AH165" s="770"/>
      <c r="AI165" s="770"/>
      <c r="AJ165" s="770"/>
      <c r="AK165" s="770"/>
      <c r="AL165" s="770"/>
      <c r="AM165" s="770"/>
      <c r="AN165" s="770"/>
      <c r="AO165" s="770"/>
      <c r="AP165" s="770"/>
      <c r="AQ165" s="585"/>
      <c r="AR165" s="90" t="s">
        <v>117</v>
      </c>
      <c r="AS165" s="34" t="s">
        <v>802</v>
      </c>
      <c r="AT165" s="34" t="s">
        <v>359</v>
      </c>
      <c r="AU165" s="91"/>
      <c r="AW165" s="158" t="s">
        <v>360</v>
      </c>
      <c r="AX165" s="158" t="s">
        <v>459</v>
      </c>
      <c r="AY165" s="158" t="str">
        <f t="shared" si="119"/>
        <v>服务业钦南区</v>
      </c>
      <c r="AZ165" s="158" t="str">
        <f t="shared" si="120"/>
        <v>服务业</v>
      </c>
    </row>
    <row r="166" ht="82.5" customHeight="1" spans="1:52">
      <c r="A166" s="23">
        <f>SUBTOTAL(3,C$7:C166)</f>
        <v>133</v>
      </c>
      <c r="B166" s="55" t="s">
        <v>803</v>
      </c>
      <c r="C166" s="35" t="s">
        <v>562</v>
      </c>
      <c r="D166" s="60" t="s">
        <v>804</v>
      </c>
      <c r="E166" s="35" t="s">
        <v>564</v>
      </c>
      <c r="F166" s="67">
        <v>20000</v>
      </c>
      <c r="G166" s="67">
        <v>486</v>
      </c>
      <c r="H166" s="134"/>
      <c r="I166" s="67">
        <v>500</v>
      </c>
      <c r="J166" s="67">
        <v>1200</v>
      </c>
      <c r="K166" s="67">
        <v>2000</v>
      </c>
      <c r="L166" s="36">
        <v>2500</v>
      </c>
      <c r="M166" s="36"/>
      <c r="N166" s="123" t="s">
        <v>805</v>
      </c>
      <c r="O166" s="133"/>
      <c r="P166" s="134"/>
      <c r="Q166" s="37"/>
      <c r="R166" s="37"/>
      <c r="S166" s="37"/>
      <c r="T166" s="37"/>
      <c r="U166" s="37"/>
      <c r="V166" s="37"/>
      <c r="W166" s="37"/>
      <c r="X166" s="585"/>
      <c r="Y166" s="585"/>
      <c r="Z166" s="770"/>
      <c r="AA166" s="770"/>
      <c r="AB166" s="770"/>
      <c r="AC166" s="770"/>
      <c r="AD166" s="770"/>
      <c r="AE166" s="770"/>
      <c r="AF166" s="770"/>
      <c r="AG166" s="770"/>
      <c r="AH166" s="770"/>
      <c r="AI166" s="770"/>
      <c r="AJ166" s="770"/>
      <c r="AK166" s="770"/>
      <c r="AL166" s="770"/>
      <c r="AM166" s="770"/>
      <c r="AN166" s="770"/>
      <c r="AO166" s="770"/>
      <c r="AP166" s="770"/>
      <c r="AQ166" s="585"/>
      <c r="AR166" s="90" t="s">
        <v>806</v>
      </c>
      <c r="AS166" s="34" t="s">
        <v>807</v>
      </c>
      <c r="AT166" s="34" t="s">
        <v>375</v>
      </c>
      <c r="AU166" s="91"/>
      <c r="AW166" s="158" t="s">
        <v>376</v>
      </c>
      <c r="AX166" s="158" t="s">
        <v>459</v>
      </c>
      <c r="AY166" s="158" t="str">
        <f t="shared" si="119"/>
        <v>服务业钦北区</v>
      </c>
      <c r="AZ166" s="158" t="str">
        <f t="shared" si="120"/>
        <v>服务业</v>
      </c>
    </row>
    <row r="167" ht="30" customHeight="1" spans="1:47">
      <c r="A167" s="753" t="s">
        <v>808</v>
      </c>
      <c r="B167" s="557" t="str">
        <f>"计划竣工项目（"&amp;SUBTOTAL(3,C169:C217)&amp;"个）"</f>
        <v>计划竣工项目（36个）</v>
      </c>
      <c r="C167" s="557"/>
      <c r="D167" s="557"/>
      <c r="E167" s="754"/>
      <c r="F167" s="134">
        <f>F168+F201+F207</f>
        <v>763172</v>
      </c>
      <c r="G167" s="134">
        <f t="shared" ref="G167:M167" si="121">G168+G201+G207</f>
        <v>492049</v>
      </c>
      <c r="H167" s="134"/>
      <c r="I167" s="134">
        <f t="shared" si="121"/>
        <v>71883</v>
      </c>
      <c r="J167" s="134">
        <f t="shared" si="121"/>
        <v>173337</v>
      </c>
      <c r="K167" s="134">
        <f t="shared" si="121"/>
        <v>231147</v>
      </c>
      <c r="L167" s="134">
        <f t="shared" si="121"/>
        <v>271123</v>
      </c>
      <c r="M167" s="134">
        <f t="shared" si="121"/>
        <v>294900</v>
      </c>
      <c r="N167" s="134"/>
      <c r="O167" s="133"/>
      <c r="P167" s="134"/>
      <c r="Q167" s="37"/>
      <c r="R167" s="37"/>
      <c r="S167" s="37"/>
      <c r="T167" s="37"/>
      <c r="U167" s="37"/>
      <c r="V167" s="37"/>
      <c r="W167" s="37"/>
      <c r="X167" s="585"/>
      <c r="Y167" s="585"/>
      <c r="Z167" s="134">
        <f t="shared" ref="Z167:AP167" si="122">Z168+Z201+Z207</f>
        <v>763.3525</v>
      </c>
      <c r="AA167" s="134">
        <f t="shared" si="122"/>
        <v>593.2025</v>
      </c>
      <c r="AB167" s="134">
        <f t="shared" si="122"/>
        <v>169.9</v>
      </c>
      <c r="AC167" s="134">
        <f t="shared" si="122"/>
        <v>71.33</v>
      </c>
      <c r="AD167" s="134">
        <f t="shared" si="122"/>
        <v>71.33</v>
      </c>
      <c r="AE167" s="134">
        <f t="shared" si="122"/>
        <v>0</v>
      </c>
      <c r="AF167" s="134">
        <f t="shared" si="122"/>
        <v>0</v>
      </c>
      <c r="AG167" s="134">
        <f t="shared" si="122"/>
        <v>0</v>
      </c>
      <c r="AH167" s="134">
        <f t="shared" si="122"/>
        <v>0</v>
      </c>
      <c r="AI167" s="134">
        <f t="shared" si="122"/>
        <v>0</v>
      </c>
      <c r="AJ167" s="134">
        <f t="shared" si="122"/>
        <v>0</v>
      </c>
      <c r="AK167" s="134">
        <f t="shared" si="122"/>
        <v>0</v>
      </c>
      <c r="AL167" s="134">
        <f t="shared" si="122"/>
        <v>0</v>
      </c>
      <c r="AM167" s="134">
        <f t="shared" si="122"/>
        <v>1000</v>
      </c>
      <c r="AN167" s="134">
        <f t="shared" si="122"/>
        <v>400</v>
      </c>
      <c r="AO167" s="134">
        <f t="shared" si="122"/>
        <v>52676</v>
      </c>
      <c r="AP167" s="134">
        <f t="shared" si="122"/>
        <v>8114</v>
      </c>
      <c r="AQ167" s="585"/>
      <c r="AR167" s="577"/>
      <c r="AS167" s="774"/>
      <c r="AT167" s="774"/>
      <c r="AU167" s="171"/>
    </row>
    <row r="168" ht="30" customHeight="1" spans="1:47">
      <c r="A168" s="551" t="s">
        <v>77</v>
      </c>
      <c r="B168" s="557" t="str">
        <f>"工业（"&amp;SUBTOTAL(3,C170:C200)&amp;"个）"</f>
        <v>工业（24个）</v>
      </c>
      <c r="C168" s="557"/>
      <c r="D168" s="557"/>
      <c r="E168" s="551"/>
      <c r="F168" s="134">
        <f>F169+F172+F174+F177+F185+F187+F192+F196</f>
        <v>354448</v>
      </c>
      <c r="G168" s="134">
        <f t="shared" ref="G168:M168" si="123">G169+G172+G174+G177+G185+G187+G192+G196</f>
        <v>238666</v>
      </c>
      <c r="H168" s="134"/>
      <c r="I168" s="134">
        <f t="shared" si="123"/>
        <v>34920</v>
      </c>
      <c r="J168" s="134">
        <f t="shared" si="123"/>
        <v>78074</v>
      </c>
      <c r="K168" s="134">
        <f t="shared" si="123"/>
        <v>100884</v>
      </c>
      <c r="L168" s="134">
        <f t="shared" si="123"/>
        <v>115782</v>
      </c>
      <c r="M168" s="134">
        <f t="shared" si="123"/>
        <v>224200</v>
      </c>
      <c r="N168" s="134"/>
      <c r="O168" s="133"/>
      <c r="P168" s="134"/>
      <c r="Q168" s="37"/>
      <c r="R168" s="37"/>
      <c r="S168" s="37"/>
      <c r="T168" s="37"/>
      <c r="U168" s="37"/>
      <c r="V168" s="37"/>
      <c r="W168" s="37"/>
      <c r="X168" s="585"/>
      <c r="Y168" s="585"/>
      <c r="Z168" s="134">
        <f t="shared" ref="Z168:AP168" si="124">Z169+Z172+Z174+Z177+Z192+Z196+Z187</f>
        <v>551.3525</v>
      </c>
      <c r="AA168" s="134">
        <f t="shared" si="124"/>
        <v>381.2025</v>
      </c>
      <c r="AB168" s="134">
        <f t="shared" si="124"/>
        <v>169.9</v>
      </c>
      <c r="AC168" s="134">
        <f t="shared" si="124"/>
        <v>71.33</v>
      </c>
      <c r="AD168" s="134">
        <f t="shared" si="124"/>
        <v>71.33</v>
      </c>
      <c r="AE168" s="134">
        <f t="shared" si="124"/>
        <v>0</v>
      </c>
      <c r="AF168" s="134">
        <f t="shared" si="124"/>
        <v>0</v>
      </c>
      <c r="AG168" s="134">
        <f t="shared" si="124"/>
        <v>0</v>
      </c>
      <c r="AH168" s="134">
        <f t="shared" si="124"/>
        <v>0</v>
      </c>
      <c r="AI168" s="134">
        <f t="shared" si="124"/>
        <v>0</v>
      </c>
      <c r="AJ168" s="134">
        <f t="shared" si="124"/>
        <v>0</v>
      </c>
      <c r="AK168" s="134">
        <f t="shared" si="124"/>
        <v>0</v>
      </c>
      <c r="AL168" s="134">
        <f t="shared" si="124"/>
        <v>0</v>
      </c>
      <c r="AM168" s="134">
        <f t="shared" si="124"/>
        <v>1000</v>
      </c>
      <c r="AN168" s="134">
        <f t="shared" si="124"/>
        <v>0</v>
      </c>
      <c r="AO168" s="134">
        <f t="shared" si="124"/>
        <v>48676</v>
      </c>
      <c r="AP168" s="134">
        <f t="shared" si="124"/>
        <v>6113</v>
      </c>
      <c r="AQ168" s="585"/>
      <c r="AR168" s="577"/>
      <c r="AS168" s="774"/>
      <c r="AT168" s="774"/>
      <c r="AU168" s="171"/>
    </row>
    <row r="169" ht="15.95" hidden="1" customHeight="1" spans="1:47">
      <c r="A169" s="551"/>
      <c r="B169" s="908" t="str">
        <f>"钦州港（"&amp;SUBTOTAL(3,C170:C171)&amp;"个）"</f>
        <v>钦州港（2个）</v>
      </c>
      <c r="C169" s="909"/>
      <c r="D169" s="910"/>
      <c r="E169" s="551"/>
      <c r="F169" s="134">
        <f t="shared" ref="F169:M169" si="125">SUBTOTAL(9,F170:F171)</f>
        <v>64000</v>
      </c>
      <c r="G169" s="134">
        <f t="shared" si="125"/>
        <v>58911</v>
      </c>
      <c r="H169" s="134"/>
      <c r="I169" s="134">
        <f t="shared" si="125"/>
        <v>2000</v>
      </c>
      <c r="J169" s="134">
        <f t="shared" si="125"/>
        <v>4089</v>
      </c>
      <c r="K169" s="134">
        <f t="shared" si="125"/>
        <v>5089</v>
      </c>
      <c r="L169" s="134">
        <f t="shared" si="125"/>
        <v>5089</v>
      </c>
      <c r="M169" s="134">
        <f t="shared" si="125"/>
        <v>60000</v>
      </c>
      <c r="N169" s="134"/>
      <c r="O169" s="133"/>
      <c r="P169" s="134"/>
      <c r="Q169" s="37"/>
      <c r="R169" s="37"/>
      <c r="S169" s="37"/>
      <c r="T169" s="37"/>
      <c r="U169" s="37"/>
      <c r="V169" s="37"/>
      <c r="W169" s="37"/>
      <c r="X169" s="585"/>
      <c r="Y169" s="585"/>
      <c r="Z169" s="134">
        <f t="shared" ref="Z169:AP169" si="126">SUBTOTAL(9,Z170:Z171)</f>
        <v>200.1525</v>
      </c>
      <c r="AA169" s="134">
        <f t="shared" si="126"/>
        <v>135.2025</v>
      </c>
      <c r="AB169" s="134">
        <f t="shared" si="126"/>
        <v>64.9</v>
      </c>
      <c r="AC169" s="134">
        <f t="shared" si="126"/>
        <v>71.33</v>
      </c>
      <c r="AD169" s="134">
        <f t="shared" si="126"/>
        <v>71.33</v>
      </c>
      <c r="AE169" s="134">
        <f t="shared" si="126"/>
        <v>0</v>
      </c>
      <c r="AF169" s="134">
        <f t="shared" si="126"/>
        <v>0</v>
      </c>
      <c r="AG169" s="134">
        <f t="shared" si="126"/>
        <v>0</v>
      </c>
      <c r="AH169" s="134">
        <f t="shared" si="126"/>
        <v>0</v>
      </c>
      <c r="AI169" s="134">
        <f t="shared" si="126"/>
        <v>0</v>
      </c>
      <c r="AJ169" s="134">
        <f t="shared" si="126"/>
        <v>0</v>
      </c>
      <c r="AK169" s="134">
        <f t="shared" si="126"/>
        <v>0</v>
      </c>
      <c r="AL169" s="134">
        <f t="shared" si="126"/>
        <v>0</v>
      </c>
      <c r="AM169" s="134">
        <f t="shared" si="126"/>
        <v>0</v>
      </c>
      <c r="AN169" s="134">
        <f t="shared" si="126"/>
        <v>0</v>
      </c>
      <c r="AO169" s="134">
        <f t="shared" si="126"/>
        <v>0</v>
      </c>
      <c r="AP169" s="134">
        <f t="shared" si="126"/>
        <v>2089</v>
      </c>
      <c r="AQ169" s="585"/>
      <c r="AR169" s="577"/>
      <c r="AS169" s="774"/>
      <c r="AT169" s="775"/>
      <c r="AU169" s="171"/>
    </row>
    <row r="170" ht="60.75" customHeight="1" spans="1:52">
      <c r="A170" s="23">
        <f>SUBTOTAL(3,C$8:C170)</f>
        <v>134</v>
      </c>
      <c r="B170" s="60" t="s">
        <v>809</v>
      </c>
      <c r="C170" s="59" t="s">
        <v>810</v>
      </c>
      <c r="D170" s="58" t="s">
        <v>811</v>
      </c>
      <c r="E170" s="59" t="s">
        <v>812</v>
      </c>
      <c r="F170" s="59">
        <v>44000</v>
      </c>
      <c r="G170" s="59">
        <v>41911</v>
      </c>
      <c r="H170" s="83" t="s">
        <v>122</v>
      </c>
      <c r="I170" s="578">
        <v>1000</v>
      </c>
      <c r="J170" s="578">
        <v>2089</v>
      </c>
      <c r="K170" s="578">
        <v>2089</v>
      </c>
      <c r="L170" s="59">
        <v>2089</v>
      </c>
      <c r="M170" s="59">
        <v>50000</v>
      </c>
      <c r="N170" s="112" t="s">
        <v>432</v>
      </c>
      <c r="O170" s="133"/>
      <c r="P170" s="134"/>
      <c r="Q170" s="37"/>
      <c r="R170" s="37"/>
      <c r="S170" s="37"/>
      <c r="T170" s="37"/>
      <c r="U170" s="37"/>
      <c r="V170" s="37"/>
      <c r="W170" s="37"/>
      <c r="X170" s="585"/>
      <c r="Y170" s="585"/>
      <c r="Z170" s="251">
        <v>200.1525</v>
      </c>
      <c r="AA170" s="251">
        <v>135.2025</v>
      </c>
      <c r="AB170" s="251">
        <v>64.9</v>
      </c>
      <c r="AC170" s="251">
        <v>71.33</v>
      </c>
      <c r="AD170" s="251">
        <v>71.33</v>
      </c>
      <c r="AE170" s="251"/>
      <c r="AF170" s="251"/>
      <c r="AG170" s="251"/>
      <c r="AH170" s="251"/>
      <c r="AI170" s="251"/>
      <c r="AJ170" s="251"/>
      <c r="AK170" s="251"/>
      <c r="AL170" s="835"/>
      <c r="AM170" s="835"/>
      <c r="AN170" s="835"/>
      <c r="AO170" s="835"/>
      <c r="AP170" s="251">
        <v>2089</v>
      </c>
      <c r="AQ170" s="585"/>
      <c r="AR170" s="112" t="s">
        <v>813</v>
      </c>
      <c r="AS170" s="58" t="s">
        <v>814</v>
      </c>
      <c r="AT170" s="123" t="s">
        <v>119</v>
      </c>
      <c r="AU170" s="91"/>
      <c r="AW170" s="158" t="s">
        <v>90</v>
      </c>
      <c r="AX170" s="158" t="s">
        <v>91</v>
      </c>
      <c r="AY170" s="158" t="str">
        <f t="shared" ref="AY170:AY173" si="127">AX170&amp;AW170</f>
        <v>工业钦州港</v>
      </c>
      <c r="AZ170" s="158" t="str">
        <f t="shared" ref="AZ170:AZ173" si="128">AX170</f>
        <v>工业</v>
      </c>
    </row>
    <row r="171" ht="87.95" customHeight="1" spans="1:52">
      <c r="A171" s="23">
        <f>SUBTOTAL(3,C$8:C171)</f>
        <v>135</v>
      </c>
      <c r="B171" s="55" t="s">
        <v>815</v>
      </c>
      <c r="C171" s="59" t="s">
        <v>810</v>
      </c>
      <c r="D171" s="34" t="s">
        <v>816</v>
      </c>
      <c r="E171" s="35" t="s">
        <v>812</v>
      </c>
      <c r="F171" s="36">
        <v>20000</v>
      </c>
      <c r="G171" s="36">
        <v>17000</v>
      </c>
      <c r="H171" s="81" t="s">
        <v>113</v>
      </c>
      <c r="I171" s="37">
        <v>1000</v>
      </c>
      <c r="J171" s="37">
        <v>2000</v>
      </c>
      <c r="K171" s="37">
        <v>3000</v>
      </c>
      <c r="L171" s="36">
        <v>3000</v>
      </c>
      <c r="M171" s="36">
        <v>10000</v>
      </c>
      <c r="N171" s="112" t="s">
        <v>432</v>
      </c>
      <c r="O171" s="133"/>
      <c r="P171" s="134"/>
      <c r="Q171" s="37"/>
      <c r="R171" s="37"/>
      <c r="S171" s="37"/>
      <c r="T171" s="37"/>
      <c r="U171" s="37"/>
      <c r="V171" s="37"/>
      <c r="W171" s="37"/>
      <c r="X171" s="585"/>
      <c r="Y171" s="585"/>
      <c r="Z171" s="770"/>
      <c r="AA171" s="770"/>
      <c r="AB171" s="770"/>
      <c r="AC171" s="770"/>
      <c r="AD171" s="770"/>
      <c r="AE171" s="770"/>
      <c r="AF171" s="770"/>
      <c r="AG171" s="770"/>
      <c r="AH171" s="770"/>
      <c r="AI171" s="770"/>
      <c r="AJ171" s="770"/>
      <c r="AK171" s="770"/>
      <c r="AL171" s="770"/>
      <c r="AM171" s="770"/>
      <c r="AN171" s="770"/>
      <c r="AO171" s="770"/>
      <c r="AP171" s="770"/>
      <c r="AQ171" s="585"/>
      <c r="AR171" s="112" t="s">
        <v>817</v>
      </c>
      <c r="AS171" s="34" t="s">
        <v>818</v>
      </c>
      <c r="AT171" s="123" t="s">
        <v>119</v>
      </c>
      <c r="AU171" s="91" t="s">
        <v>819</v>
      </c>
      <c r="AW171" s="158" t="s">
        <v>90</v>
      </c>
      <c r="AX171" s="158" t="s">
        <v>91</v>
      </c>
      <c r="AY171" s="158" t="str">
        <f t="shared" si="127"/>
        <v>工业钦州港</v>
      </c>
      <c r="AZ171" s="158" t="str">
        <f t="shared" si="128"/>
        <v>工业</v>
      </c>
    </row>
    <row r="172" ht="15.95" hidden="1" customHeight="1" spans="1:47">
      <c r="A172" s="23"/>
      <c r="B172" s="908" t="str">
        <f>"保税港（"&amp;SUBTOTAL(3,C173)&amp;"个）"</f>
        <v>保税港（1个）</v>
      </c>
      <c r="C172" s="909"/>
      <c r="D172" s="910"/>
      <c r="E172" s="35"/>
      <c r="F172" s="134">
        <f t="shared" ref="F172:AP172" si="129">SUBTOTAL(9,F173:F173)</f>
        <v>5000</v>
      </c>
      <c r="G172" s="134">
        <f t="shared" si="129"/>
        <v>1000</v>
      </c>
      <c r="H172" s="81"/>
      <c r="I172" s="134">
        <f t="shared" si="129"/>
        <v>1000</v>
      </c>
      <c r="J172" s="134">
        <f t="shared" si="129"/>
        <v>4000</v>
      </c>
      <c r="K172" s="134">
        <f t="shared" si="129"/>
        <v>4000</v>
      </c>
      <c r="L172" s="134">
        <f t="shared" si="129"/>
        <v>4000</v>
      </c>
      <c r="M172" s="134">
        <f t="shared" si="129"/>
        <v>3000</v>
      </c>
      <c r="N172" s="134"/>
      <c r="O172" s="134">
        <f t="shared" si="129"/>
        <v>0</v>
      </c>
      <c r="P172" s="134">
        <f t="shared" si="129"/>
        <v>0</v>
      </c>
      <c r="Q172" s="134">
        <f t="shared" si="129"/>
        <v>0</v>
      </c>
      <c r="R172" s="134">
        <f t="shared" si="129"/>
        <v>0</v>
      </c>
      <c r="S172" s="134">
        <f t="shared" si="129"/>
        <v>0</v>
      </c>
      <c r="T172" s="134">
        <f t="shared" si="129"/>
        <v>0</v>
      </c>
      <c r="U172" s="134">
        <f t="shared" si="129"/>
        <v>0</v>
      </c>
      <c r="V172" s="134">
        <f t="shared" si="129"/>
        <v>0</v>
      </c>
      <c r="W172" s="134">
        <f t="shared" si="129"/>
        <v>0</v>
      </c>
      <c r="X172" s="134">
        <f t="shared" si="129"/>
        <v>0</v>
      </c>
      <c r="Y172" s="134">
        <f t="shared" si="129"/>
        <v>0</v>
      </c>
      <c r="Z172" s="134">
        <f t="shared" si="129"/>
        <v>0</v>
      </c>
      <c r="AA172" s="134">
        <f t="shared" si="129"/>
        <v>0</v>
      </c>
      <c r="AB172" s="134">
        <f t="shared" si="129"/>
        <v>0</v>
      </c>
      <c r="AC172" s="134">
        <f t="shared" si="129"/>
        <v>0</v>
      </c>
      <c r="AD172" s="134">
        <f t="shared" si="129"/>
        <v>0</v>
      </c>
      <c r="AE172" s="134">
        <f t="shared" si="129"/>
        <v>0</v>
      </c>
      <c r="AF172" s="134">
        <f t="shared" si="129"/>
        <v>0</v>
      </c>
      <c r="AG172" s="134">
        <f t="shared" si="129"/>
        <v>0</v>
      </c>
      <c r="AH172" s="134">
        <f t="shared" si="129"/>
        <v>0</v>
      </c>
      <c r="AI172" s="134">
        <f t="shared" si="129"/>
        <v>0</v>
      </c>
      <c r="AJ172" s="134">
        <f t="shared" si="129"/>
        <v>0</v>
      </c>
      <c r="AK172" s="134">
        <f t="shared" si="129"/>
        <v>0</v>
      </c>
      <c r="AL172" s="134">
        <f t="shared" si="129"/>
        <v>0</v>
      </c>
      <c r="AM172" s="134">
        <f t="shared" si="129"/>
        <v>0</v>
      </c>
      <c r="AN172" s="134">
        <f t="shared" si="129"/>
        <v>0</v>
      </c>
      <c r="AO172" s="134">
        <f t="shared" si="129"/>
        <v>0</v>
      </c>
      <c r="AP172" s="134">
        <f t="shared" si="129"/>
        <v>0</v>
      </c>
      <c r="AQ172" s="585"/>
      <c r="AR172" s="112"/>
      <c r="AS172" s="34"/>
      <c r="AT172" s="67"/>
      <c r="AU172" s="91"/>
    </row>
    <row r="173" ht="63.95" customHeight="1" spans="1:52">
      <c r="A173" s="23">
        <f>SUBTOTAL(3,C$7:C173)</f>
        <v>136</v>
      </c>
      <c r="B173" s="60" t="s">
        <v>820</v>
      </c>
      <c r="C173" s="59" t="s">
        <v>810</v>
      </c>
      <c r="D173" s="88" t="s">
        <v>821</v>
      </c>
      <c r="E173" s="23" t="s">
        <v>812</v>
      </c>
      <c r="F173" s="67">
        <v>5000</v>
      </c>
      <c r="G173" s="38">
        <v>1000</v>
      </c>
      <c r="H173" s="50" t="s">
        <v>144</v>
      </c>
      <c r="I173" s="36">
        <v>1000</v>
      </c>
      <c r="J173" s="36">
        <v>4000</v>
      </c>
      <c r="K173" s="36">
        <v>4000</v>
      </c>
      <c r="L173" s="38">
        <v>4000</v>
      </c>
      <c r="M173" s="38">
        <v>3000</v>
      </c>
      <c r="N173" s="112" t="s">
        <v>822</v>
      </c>
      <c r="O173" s="133"/>
      <c r="P173" s="134"/>
      <c r="Q173" s="37"/>
      <c r="R173" s="37"/>
      <c r="S173" s="37"/>
      <c r="T173" s="37"/>
      <c r="U173" s="37"/>
      <c r="V173" s="37"/>
      <c r="W173" s="37"/>
      <c r="X173" s="585"/>
      <c r="Y173" s="585"/>
      <c r="Z173" s="132"/>
      <c r="AA173" s="132"/>
      <c r="AB173" s="132"/>
      <c r="AC173" s="132"/>
      <c r="AD173" s="132"/>
      <c r="AE173" s="132"/>
      <c r="AF173" s="132"/>
      <c r="AG173" s="132"/>
      <c r="AH173" s="132"/>
      <c r="AI173" s="132"/>
      <c r="AJ173" s="132"/>
      <c r="AK173" s="132"/>
      <c r="AL173" s="132"/>
      <c r="AM173" s="132"/>
      <c r="AN173" s="132"/>
      <c r="AO173" s="770"/>
      <c r="AP173" s="770"/>
      <c r="AQ173" s="585"/>
      <c r="AR173" s="90" t="s">
        <v>823</v>
      </c>
      <c r="AS173" s="123" t="s">
        <v>824</v>
      </c>
      <c r="AT173" s="123" t="s">
        <v>166</v>
      </c>
      <c r="AU173" s="91"/>
      <c r="AW173" s="158" t="s">
        <v>167</v>
      </c>
      <c r="AX173" s="158" t="s">
        <v>91</v>
      </c>
      <c r="AY173" s="158" t="str">
        <f t="shared" si="127"/>
        <v>工业保税港</v>
      </c>
      <c r="AZ173" s="158" t="str">
        <f t="shared" si="128"/>
        <v>工业</v>
      </c>
    </row>
    <row r="174" ht="15.95" hidden="1" customHeight="1" spans="1:47">
      <c r="A174" s="551"/>
      <c r="B174" s="908" t="str">
        <f>"中马园（"&amp;SUBTOTAL(3,C175:C176)&amp;"个）"</f>
        <v>中马园（2个）</v>
      </c>
      <c r="C174" s="909"/>
      <c r="D174" s="910"/>
      <c r="E174" s="551"/>
      <c r="F174" s="134">
        <f t="shared" ref="F174:AP174" si="130">SUBTOTAL(9,F175:F176)</f>
        <v>92320</v>
      </c>
      <c r="G174" s="134">
        <f t="shared" si="130"/>
        <v>82920</v>
      </c>
      <c r="H174" s="134"/>
      <c r="I174" s="134">
        <f t="shared" si="130"/>
        <v>1100</v>
      </c>
      <c r="J174" s="134">
        <f t="shared" si="130"/>
        <v>3870</v>
      </c>
      <c r="K174" s="134">
        <f t="shared" si="130"/>
        <v>6540</v>
      </c>
      <c r="L174" s="134">
        <f t="shared" si="130"/>
        <v>9400</v>
      </c>
      <c r="M174" s="134">
        <f t="shared" si="130"/>
        <v>44000</v>
      </c>
      <c r="N174" s="134"/>
      <c r="O174" s="134">
        <f t="shared" si="130"/>
        <v>0</v>
      </c>
      <c r="P174" s="134">
        <f t="shared" si="130"/>
        <v>0</v>
      </c>
      <c r="Q174" s="134">
        <f t="shared" si="130"/>
        <v>0</v>
      </c>
      <c r="R174" s="134">
        <f t="shared" si="130"/>
        <v>0</v>
      </c>
      <c r="S174" s="134">
        <f t="shared" si="130"/>
        <v>0</v>
      </c>
      <c r="T174" s="134">
        <f t="shared" si="130"/>
        <v>0</v>
      </c>
      <c r="U174" s="134">
        <f t="shared" si="130"/>
        <v>0</v>
      </c>
      <c r="V174" s="134">
        <f t="shared" si="130"/>
        <v>0</v>
      </c>
      <c r="W174" s="134">
        <f t="shared" si="130"/>
        <v>0</v>
      </c>
      <c r="X174" s="134">
        <f t="shared" si="130"/>
        <v>0</v>
      </c>
      <c r="Y174" s="134">
        <f t="shared" si="130"/>
        <v>0</v>
      </c>
      <c r="Z174" s="134">
        <f t="shared" si="130"/>
        <v>80.2</v>
      </c>
      <c r="AA174" s="134">
        <f t="shared" si="130"/>
        <v>80</v>
      </c>
      <c r="AB174" s="134">
        <f t="shared" si="130"/>
        <v>0</v>
      </c>
      <c r="AC174" s="134">
        <f t="shared" si="130"/>
        <v>0</v>
      </c>
      <c r="AD174" s="134">
        <f t="shared" si="130"/>
        <v>0</v>
      </c>
      <c r="AE174" s="134">
        <f t="shared" si="130"/>
        <v>0</v>
      </c>
      <c r="AF174" s="134">
        <f t="shared" si="130"/>
        <v>0</v>
      </c>
      <c r="AG174" s="134">
        <f t="shared" si="130"/>
        <v>0</v>
      </c>
      <c r="AH174" s="134">
        <f t="shared" si="130"/>
        <v>0</v>
      </c>
      <c r="AI174" s="134">
        <f t="shared" si="130"/>
        <v>0</v>
      </c>
      <c r="AJ174" s="134">
        <f t="shared" si="130"/>
        <v>0</v>
      </c>
      <c r="AK174" s="134">
        <f t="shared" si="130"/>
        <v>0</v>
      </c>
      <c r="AL174" s="134">
        <f t="shared" si="130"/>
        <v>0</v>
      </c>
      <c r="AM174" s="134">
        <f t="shared" si="130"/>
        <v>1000</v>
      </c>
      <c r="AN174" s="134">
        <f t="shared" si="130"/>
        <v>0</v>
      </c>
      <c r="AO174" s="134">
        <f t="shared" si="130"/>
        <v>4376</v>
      </c>
      <c r="AP174" s="134">
        <f t="shared" si="130"/>
        <v>1024</v>
      </c>
      <c r="AQ174" s="585"/>
      <c r="AR174" s="112"/>
      <c r="AS174" s="591"/>
      <c r="AT174" s="134"/>
      <c r="AU174" s="91"/>
    </row>
    <row r="175" ht="66.95" customHeight="1" spans="1:52">
      <c r="A175" s="23">
        <f>SUBTOTAL(3,C$8:C175)</f>
        <v>137</v>
      </c>
      <c r="B175" s="93" t="s">
        <v>825</v>
      </c>
      <c r="C175" s="92" t="s">
        <v>810</v>
      </c>
      <c r="D175" s="91" t="s">
        <v>826</v>
      </c>
      <c r="E175" s="92" t="s">
        <v>827</v>
      </c>
      <c r="F175" s="67">
        <v>62320</v>
      </c>
      <c r="G175" s="67">
        <v>55920</v>
      </c>
      <c r="H175" s="81" t="s">
        <v>283</v>
      </c>
      <c r="I175" s="37">
        <v>1000</v>
      </c>
      <c r="J175" s="37">
        <v>2900</v>
      </c>
      <c r="K175" s="37">
        <v>4700</v>
      </c>
      <c r="L175" s="67">
        <v>6400</v>
      </c>
      <c r="M175" s="67">
        <v>1000</v>
      </c>
      <c r="N175" s="112" t="s">
        <v>432</v>
      </c>
      <c r="O175" s="133"/>
      <c r="P175" s="134"/>
      <c r="Q175" s="37"/>
      <c r="R175" s="37"/>
      <c r="S175" s="37"/>
      <c r="T175" s="37"/>
      <c r="U175" s="37"/>
      <c r="V175" s="37"/>
      <c r="W175" s="37"/>
      <c r="X175" s="585"/>
      <c r="Y175" s="585"/>
      <c r="Z175" s="134">
        <v>80.2</v>
      </c>
      <c r="AA175" s="134">
        <v>80</v>
      </c>
      <c r="AB175" s="770"/>
      <c r="AC175" s="770"/>
      <c r="AD175" s="770"/>
      <c r="AE175" s="770"/>
      <c r="AF175" s="770"/>
      <c r="AG175" s="770"/>
      <c r="AH175" s="770"/>
      <c r="AI175" s="770"/>
      <c r="AJ175" s="770"/>
      <c r="AK175" s="770"/>
      <c r="AL175" s="770"/>
      <c r="AM175" s="132">
        <v>1000</v>
      </c>
      <c r="AN175" s="770"/>
      <c r="AO175" s="132">
        <v>4376</v>
      </c>
      <c r="AP175" s="132">
        <v>1024</v>
      </c>
      <c r="AQ175" s="585"/>
      <c r="AR175" s="579" t="s">
        <v>828</v>
      </c>
      <c r="AS175" s="123" t="s">
        <v>591</v>
      </c>
      <c r="AT175" s="91" t="s">
        <v>185</v>
      </c>
      <c r="AU175" s="91" t="s">
        <v>829</v>
      </c>
      <c r="AW175" s="158" t="s">
        <v>186</v>
      </c>
      <c r="AX175" s="158" t="s">
        <v>91</v>
      </c>
      <c r="AY175" s="158" t="str">
        <f>AX175&amp;AW175</f>
        <v>工业中马园</v>
      </c>
      <c r="AZ175" s="158" t="str">
        <f>AX175</f>
        <v>工业</v>
      </c>
    </row>
    <row r="176" ht="71.1" customHeight="1" spans="1:52">
      <c r="A176" s="23">
        <f>SUBTOTAL(3,C$8:C176)</f>
        <v>138</v>
      </c>
      <c r="B176" s="55" t="s">
        <v>830</v>
      </c>
      <c r="C176" s="92" t="s">
        <v>810</v>
      </c>
      <c r="D176" s="58" t="s">
        <v>831</v>
      </c>
      <c r="E176" s="59" t="s">
        <v>832</v>
      </c>
      <c r="F176" s="36">
        <v>30000</v>
      </c>
      <c r="G176" s="36">
        <v>27000</v>
      </c>
      <c r="H176" s="81" t="s">
        <v>82</v>
      </c>
      <c r="I176" s="37">
        <v>100</v>
      </c>
      <c r="J176" s="37">
        <v>970</v>
      </c>
      <c r="K176" s="37">
        <v>1840</v>
      </c>
      <c r="L176" s="36">
        <v>3000</v>
      </c>
      <c r="M176" s="36">
        <v>43000</v>
      </c>
      <c r="N176" s="112" t="s">
        <v>432</v>
      </c>
      <c r="O176" s="133"/>
      <c r="P176" s="134"/>
      <c r="Q176" s="37"/>
      <c r="R176" s="37"/>
      <c r="S176" s="37"/>
      <c r="T176" s="37"/>
      <c r="U176" s="37"/>
      <c r="V176" s="37"/>
      <c r="W176" s="37"/>
      <c r="X176" s="585"/>
      <c r="Y176" s="585"/>
      <c r="Z176" s="770"/>
      <c r="AA176" s="770"/>
      <c r="AB176" s="770"/>
      <c r="AC176" s="770"/>
      <c r="AD176" s="770"/>
      <c r="AE176" s="770"/>
      <c r="AF176" s="770"/>
      <c r="AG176" s="770"/>
      <c r="AH176" s="770"/>
      <c r="AI176" s="770"/>
      <c r="AJ176" s="770"/>
      <c r="AK176" s="770"/>
      <c r="AL176" s="770"/>
      <c r="AM176" s="770"/>
      <c r="AN176" s="770"/>
      <c r="AO176" s="770"/>
      <c r="AP176" s="770"/>
      <c r="AQ176" s="585"/>
      <c r="AR176" s="112" t="s">
        <v>117</v>
      </c>
      <c r="AS176" s="34" t="s">
        <v>600</v>
      </c>
      <c r="AT176" s="34" t="s">
        <v>185</v>
      </c>
      <c r="AU176" s="91"/>
      <c r="AW176" s="158" t="s">
        <v>186</v>
      </c>
      <c r="AX176" s="158" t="s">
        <v>91</v>
      </c>
      <c r="AY176" s="158" t="str">
        <f>AX176&amp;AW176</f>
        <v>工业中马园</v>
      </c>
      <c r="AZ176" s="158" t="str">
        <f>AX176</f>
        <v>工业</v>
      </c>
    </row>
    <row r="177" ht="15.95" hidden="1" customHeight="1" spans="1:47">
      <c r="A177" s="551"/>
      <c r="B177" s="908" t="str">
        <f>"高新区（"&amp;SUBTOTAL(3,C178:C184)&amp;"个）"</f>
        <v>高新区（7个）</v>
      </c>
      <c r="C177" s="909"/>
      <c r="D177" s="910"/>
      <c r="E177" s="551"/>
      <c r="F177" s="134">
        <f>SUBTOTAL(9,F178:F184)</f>
        <v>91800</v>
      </c>
      <c r="G177" s="134">
        <f t="shared" ref="G177:AP177" si="131">SUBTOTAL(9,G178:G184)</f>
        <v>44300</v>
      </c>
      <c r="H177" s="134"/>
      <c r="I177" s="134">
        <f t="shared" si="131"/>
        <v>11600</v>
      </c>
      <c r="J177" s="134">
        <f t="shared" si="131"/>
        <v>32400</v>
      </c>
      <c r="K177" s="134">
        <f t="shared" si="131"/>
        <v>43300</v>
      </c>
      <c r="L177" s="134">
        <f t="shared" si="131"/>
        <v>47500</v>
      </c>
      <c r="M177" s="134">
        <f t="shared" si="131"/>
        <v>25000</v>
      </c>
      <c r="N177" s="134"/>
      <c r="O177" s="134">
        <f t="shared" si="131"/>
        <v>0</v>
      </c>
      <c r="P177" s="134">
        <f t="shared" si="131"/>
        <v>0</v>
      </c>
      <c r="Q177" s="134">
        <f t="shared" si="131"/>
        <v>0</v>
      </c>
      <c r="R177" s="134">
        <f t="shared" si="131"/>
        <v>0</v>
      </c>
      <c r="S177" s="134">
        <f t="shared" si="131"/>
        <v>0</v>
      </c>
      <c r="T177" s="134">
        <f t="shared" si="131"/>
        <v>0</v>
      </c>
      <c r="U177" s="134">
        <f t="shared" si="131"/>
        <v>0</v>
      </c>
      <c r="V177" s="134">
        <f t="shared" si="131"/>
        <v>0</v>
      </c>
      <c r="W177" s="134">
        <f t="shared" si="131"/>
        <v>0</v>
      </c>
      <c r="X177" s="134">
        <f t="shared" si="131"/>
        <v>0</v>
      </c>
      <c r="Y177" s="134">
        <f t="shared" si="131"/>
        <v>0</v>
      </c>
      <c r="Z177" s="134">
        <f t="shared" si="131"/>
        <v>105</v>
      </c>
      <c r="AA177" s="134">
        <f t="shared" si="131"/>
        <v>0</v>
      </c>
      <c r="AB177" s="134">
        <f t="shared" si="131"/>
        <v>105</v>
      </c>
      <c r="AC177" s="134">
        <f t="shared" si="131"/>
        <v>0</v>
      </c>
      <c r="AD177" s="134">
        <f t="shared" si="131"/>
        <v>0</v>
      </c>
      <c r="AE177" s="134">
        <f t="shared" si="131"/>
        <v>0</v>
      </c>
      <c r="AF177" s="134">
        <f t="shared" si="131"/>
        <v>0</v>
      </c>
      <c r="AG177" s="134">
        <f t="shared" si="131"/>
        <v>0</v>
      </c>
      <c r="AH177" s="134">
        <f t="shared" si="131"/>
        <v>0</v>
      </c>
      <c r="AI177" s="134">
        <f t="shared" si="131"/>
        <v>0</v>
      </c>
      <c r="AJ177" s="134">
        <f t="shared" si="131"/>
        <v>0</v>
      </c>
      <c r="AK177" s="134">
        <f t="shared" si="131"/>
        <v>0</v>
      </c>
      <c r="AL177" s="134">
        <f t="shared" si="131"/>
        <v>0</v>
      </c>
      <c r="AM177" s="134">
        <f t="shared" si="131"/>
        <v>0</v>
      </c>
      <c r="AN177" s="134">
        <f t="shared" si="131"/>
        <v>0</v>
      </c>
      <c r="AO177" s="134">
        <f t="shared" si="131"/>
        <v>44300</v>
      </c>
      <c r="AP177" s="134">
        <f t="shared" si="131"/>
        <v>3000</v>
      </c>
      <c r="AQ177" s="585"/>
      <c r="AR177" s="112"/>
      <c r="AS177" s="591"/>
      <c r="AT177" s="134"/>
      <c r="AU177" s="91"/>
    </row>
    <row r="178" ht="80.1" customHeight="1" spans="1:52">
      <c r="A178" s="23">
        <f>SUBTOTAL(3,C$8:C178)</f>
        <v>139</v>
      </c>
      <c r="B178" s="55" t="s">
        <v>833</v>
      </c>
      <c r="C178" s="35" t="s">
        <v>810</v>
      </c>
      <c r="D178" s="34" t="s">
        <v>834</v>
      </c>
      <c r="E178" s="35" t="s">
        <v>832</v>
      </c>
      <c r="F178" s="38">
        <v>50000</v>
      </c>
      <c r="G178" s="38">
        <v>25000</v>
      </c>
      <c r="H178" s="81" t="s">
        <v>113</v>
      </c>
      <c r="I178" s="37">
        <v>5000</v>
      </c>
      <c r="J178" s="37">
        <v>18000</v>
      </c>
      <c r="K178" s="37">
        <v>25000</v>
      </c>
      <c r="L178" s="38">
        <v>25000</v>
      </c>
      <c r="M178" s="38">
        <v>5000</v>
      </c>
      <c r="N178" s="112" t="s">
        <v>432</v>
      </c>
      <c r="O178" s="133"/>
      <c r="P178" s="134"/>
      <c r="Q178" s="37"/>
      <c r="R178" s="37"/>
      <c r="S178" s="37"/>
      <c r="T178" s="37"/>
      <c r="U178" s="37"/>
      <c r="V178" s="37"/>
      <c r="W178" s="37"/>
      <c r="X178" s="585"/>
      <c r="Y178" s="585"/>
      <c r="Z178" s="770"/>
      <c r="AA178" s="770"/>
      <c r="AB178" s="770"/>
      <c r="AC178" s="770"/>
      <c r="AD178" s="770"/>
      <c r="AE178" s="770"/>
      <c r="AF178" s="770"/>
      <c r="AG178" s="770"/>
      <c r="AH178" s="770"/>
      <c r="AI178" s="770"/>
      <c r="AJ178" s="770"/>
      <c r="AK178" s="770"/>
      <c r="AL178" s="770"/>
      <c r="AM178" s="770"/>
      <c r="AN178" s="770"/>
      <c r="AO178" s="821">
        <v>25000</v>
      </c>
      <c r="AP178" s="770"/>
      <c r="AQ178" s="585"/>
      <c r="AR178" s="112" t="s">
        <v>117</v>
      </c>
      <c r="AS178" s="34" t="s">
        <v>835</v>
      </c>
      <c r="AT178" s="123" t="s">
        <v>240</v>
      </c>
      <c r="AU178" s="91"/>
      <c r="AW178" s="158" t="s">
        <v>241</v>
      </c>
      <c r="AX178" s="158" t="s">
        <v>91</v>
      </c>
      <c r="AY178" s="158" t="str">
        <f t="shared" ref="AY178:AY184" si="132">AX178&amp;AW178</f>
        <v>工业高新区</v>
      </c>
      <c r="AZ178" s="158" t="str">
        <f t="shared" ref="AZ178:AZ184" si="133">AX178</f>
        <v>工业</v>
      </c>
    </row>
    <row r="179" ht="93" customHeight="1" spans="1:52">
      <c r="A179" s="23">
        <f>SUBTOTAL(3,C$8:C179)</f>
        <v>140</v>
      </c>
      <c r="B179" s="55" t="s">
        <v>836</v>
      </c>
      <c r="C179" s="35" t="s">
        <v>810</v>
      </c>
      <c r="D179" s="60" t="s">
        <v>837</v>
      </c>
      <c r="E179" s="35" t="s">
        <v>832</v>
      </c>
      <c r="F179" s="35">
        <v>6000</v>
      </c>
      <c r="G179" s="67">
        <v>500</v>
      </c>
      <c r="H179" s="81" t="s">
        <v>131</v>
      </c>
      <c r="I179" s="37">
        <v>500</v>
      </c>
      <c r="J179" s="37">
        <v>1500</v>
      </c>
      <c r="K179" s="37">
        <v>3500</v>
      </c>
      <c r="L179" s="38">
        <v>5500</v>
      </c>
      <c r="M179" s="38">
        <v>2000</v>
      </c>
      <c r="N179" s="112" t="s">
        <v>432</v>
      </c>
      <c r="O179" s="133"/>
      <c r="P179" s="134"/>
      <c r="Q179" s="37"/>
      <c r="R179" s="37"/>
      <c r="S179" s="37"/>
      <c r="T179" s="37"/>
      <c r="U179" s="37"/>
      <c r="V179" s="37"/>
      <c r="W179" s="37"/>
      <c r="X179" s="585"/>
      <c r="Y179" s="585"/>
      <c r="Z179" s="770"/>
      <c r="AA179" s="770"/>
      <c r="AB179" s="770"/>
      <c r="AC179" s="770"/>
      <c r="AD179" s="770"/>
      <c r="AE179" s="770"/>
      <c r="AF179" s="770"/>
      <c r="AG179" s="770"/>
      <c r="AH179" s="770"/>
      <c r="AI179" s="770"/>
      <c r="AJ179" s="770"/>
      <c r="AK179" s="770"/>
      <c r="AL179" s="770"/>
      <c r="AM179" s="770"/>
      <c r="AN179" s="770"/>
      <c r="AO179" s="134">
        <v>500</v>
      </c>
      <c r="AP179" s="770"/>
      <c r="AQ179" s="585"/>
      <c r="AR179" s="90" t="s">
        <v>117</v>
      </c>
      <c r="AS179" s="34" t="s">
        <v>838</v>
      </c>
      <c r="AT179" s="34" t="s">
        <v>240</v>
      </c>
      <c r="AU179" s="91"/>
      <c r="AW179" s="158" t="s">
        <v>241</v>
      </c>
      <c r="AX179" s="158" t="s">
        <v>91</v>
      </c>
      <c r="AY179" s="158" t="str">
        <f t="shared" si="132"/>
        <v>工业高新区</v>
      </c>
      <c r="AZ179" s="158" t="str">
        <f t="shared" si="133"/>
        <v>工业</v>
      </c>
    </row>
    <row r="180" ht="80.1" customHeight="1" spans="1:52">
      <c r="A180" s="23">
        <f>SUBTOTAL(3,C$8:C180)</f>
        <v>141</v>
      </c>
      <c r="B180" s="55" t="s">
        <v>839</v>
      </c>
      <c r="C180" s="35" t="s">
        <v>810</v>
      </c>
      <c r="D180" s="60" t="s">
        <v>840</v>
      </c>
      <c r="E180" s="35" t="s">
        <v>841</v>
      </c>
      <c r="F180" s="35">
        <v>15000</v>
      </c>
      <c r="G180" s="67">
        <v>13500</v>
      </c>
      <c r="H180" s="81" t="s">
        <v>131</v>
      </c>
      <c r="I180" s="37">
        <v>200</v>
      </c>
      <c r="J180" s="37">
        <v>800</v>
      </c>
      <c r="K180" s="37">
        <v>1300</v>
      </c>
      <c r="L180" s="38">
        <v>1500</v>
      </c>
      <c r="M180" s="38">
        <v>2000</v>
      </c>
      <c r="N180" s="112" t="s">
        <v>432</v>
      </c>
      <c r="O180" s="133"/>
      <c r="P180" s="134"/>
      <c r="Q180" s="37"/>
      <c r="R180" s="37"/>
      <c r="S180" s="37"/>
      <c r="T180" s="37"/>
      <c r="U180" s="37"/>
      <c r="V180" s="37"/>
      <c r="W180" s="37"/>
      <c r="X180" s="585"/>
      <c r="Y180" s="585"/>
      <c r="Z180" s="770"/>
      <c r="AA180" s="770"/>
      <c r="AB180" s="770"/>
      <c r="AC180" s="770"/>
      <c r="AD180" s="770"/>
      <c r="AE180" s="770"/>
      <c r="AF180" s="770"/>
      <c r="AG180" s="770"/>
      <c r="AH180" s="770"/>
      <c r="AI180" s="770"/>
      <c r="AJ180" s="770"/>
      <c r="AK180" s="770"/>
      <c r="AL180" s="770"/>
      <c r="AM180" s="770"/>
      <c r="AN180" s="770"/>
      <c r="AO180" s="134">
        <v>13500</v>
      </c>
      <c r="AP180" s="132">
        <v>1000</v>
      </c>
      <c r="AQ180" s="585"/>
      <c r="AR180" s="90" t="s">
        <v>842</v>
      </c>
      <c r="AS180" s="34" t="s">
        <v>843</v>
      </c>
      <c r="AT180" s="34" t="s">
        <v>240</v>
      </c>
      <c r="AU180" s="91"/>
      <c r="AW180" s="158" t="s">
        <v>241</v>
      </c>
      <c r="AX180" s="158" t="s">
        <v>91</v>
      </c>
      <c r="AY180" s="158" t="str">
        <f t="shared" si="132"/>
        <v>工业高新区</v>
      </c>
      <c r="AZ180" s="158" t="str">
        <f t="shared" si="133"/>
        <v>工业</v>
      </c>
    </row>
    <row r="181" ht="85.5" customHeight="1" spans="1:52">
      <c r="A181" s="23">
        <f>SUBTOTAL(3,C$8:C181)</f>
        <v>142</v>
      </c>
      <c r="B181" s="54" t="s">
        <v>844</v>
      </c>
      <c r="C181" s="35" t="s">
        <v>810</v>
      </c>
      <c r="D181" s="123" t="s">
        <v>845</v>
      </c>
      <c r="E181" s="67" t="s">
        <v>832</v>
      </c>
      <c r="F181" s="67">
        <v>6000</v>
      </c>
      <c r="G181" s="67">
        <v>1000</v>
      </c>
      <c r="H181" s="81" t="s">
        <v>131</v>
      </c>
      <c r="I181" s="37">
        <v>100</v>
      </c>
      <c r="J181" s="37">
        <v>1600</v>
      </c>
      <c r="K181" s="37">
        <v>3000</v>
      </c>
      <c r="L181" s="67">
        <v>5000</v>
      </c>
      <c r="M181" s="67">
        <v>3000</v>
      </c>
      <c r="N181" s="112" t="s">
        <v>432</v>
      </c>
      <c r="O181" s="133"/>
      <c r="P181" s="134"/>
      <c r="Q181" s="37"/>
      <c r="R181" s="37"/>
      <c r="S181" s="37"/>
      <c r="T181" s="37"/>
      <c r="U181" s="37"/>
      <c r="V181" s="37"/>
      <c r="W181" s="37"/>
      <c r="X181" s="585"/>
      <c r="Y181" s="585"/>
      <c r="Z181" s="132">
        <v>105</v>
      </c>
      <c r="AA181" s="132"/>
      <c r="AB181" s="132">
        <v>105</v>
      </c>
      <c r="AC181" s="770"/>
      <c r="AD181" s="770"/>
      <c r="AE181" s="770"/>
      <c r="AF181" s="770"/>
      <c r="AG181" s="770"/>
      <c r="AH181" s="770"/>
      <c r="AI181" s="770"/>
      <c r="AJ181" s="770"/>
      <c r="AK181" s="770"/>
      <c r="AL181" s="770"/>
      <c r="AM181" s="770"/>
      <c r="AN181" s="770"/>
      <c r="AO181" s="134">
        <v>1000</v>
      </c>
      <c r="AP181" s="132">
        <v>2000</v>
      </c>
      <c r="AQ181" s="585"/>
      <c r="AR181" s="112" t="s">
        <v>846</v>
      </c>
      <c r="AS181" s="123" t="s">
        <v>847</v>
      </c>
      <c r="AT181" s="123" t="s">
        <v>240</v>
      </c>
      <c r="AU181" s="91" t="s">
        <v>848</v>
      </c>
      <c r="AW181" s="158" t="s">
        <v>241</v>
      </c>
      <c r="AX181" s="158" t="s">
        <v>91</v>
      </c>
      <c r="AY181" s="158" t="str">
        <f t="shared" si="132"/>
        <v>工业高新区</v>
      </c>
      <c r="AZ181" s="158" t="str">
        <f t="shared" si="133"/>
        <v>工业</v>
      </c>
    </row>
    <row r="182" ht="80.1" customHeight="1" spans="1:52">
      <c r="A182" s="23">
        <f>SUBTOTAL(3,C$8:C182)</f>
        <v>143</v>
      </c>
      <c r="B182" s="54" t="s">
        <v>849</v>
      </c>
      <c r="C182" s="35" t="s">
        <v>810</v>
      </c>
      <c r="D182" s="123" t="s">
        <v>850</v>
      </c>
      <c r="E182" s="67">
        <v>2019</v>
      </c>
      <c r="F182" s="67">
        <v>5000</v>
      </c>
      <c r="G182" s="67"/>
      <c r="H182" s="81" t="s">
        <v>144</v>
      </c>
      <c r="I182" s="37">
        <v>3000</v>
      </c>
      <c r="J182" s="37">
        <v>5000</v>
      </c>
      <c r="K182" s="37">
        <v>5000</v>
      </c>
      <c r="L182" s="67">
        <v>5000</v>
      </c>
      <c r="M182" s="67">
        <v>5000</v>
      </c>
      <c r="N182" s="112" t="s">
        <v>432</v>
      </c>
      <c r="O182" s="133"/>
      <c r="P182" s="134"/>
      <c r="Q182" s="37"/>
      <c r="R182" s="37"/>
      <c r="S182" s="37"/>
      <c r="T182" s="37"/>
      <c r="U182" s="37"/>
      <c r="V182" s="37"/>
      <c r="W182" s="37"/>
      <c r="X182" s="585"/>
      <c r="Y182" s="585"/>
      <c r="Z182" s="770"/>
      <c r="AA182" s="770"/>
      <c r="AB182" s="770"/>
      <c r="AC182" s="770"/>
      <c r="AD182" s="770"/>
      <c r="AE182" s="770"/>
      <c r="AF182" s="770"/>
      <c r="AG182" s="770"/>
      <c r="AH182" s="770"/>
      <c r="AI182" s="770"/>
      <c r="AJ182" s="770"/>
      <c r="AK182" s="770"/>
      <c r="AL182" s="770"/>
      <c r="AM182" s="770"/>
      <c r="AN182" s="770"/>
      <c r="AO182" s="67"/>
      <c r="AP182" s="770"/>
      <c r="AQ182" s="585"/>
      <c r="AR182" s="112" t="s">
        <v>117</v>
      </c>
      <c r="AS182" s="123" t="s">
        <v>851</v>
      </c>
      <c r="AT182" s="123" t="s">
        <v>240</v>
      </c>
      <c r="AU182" s="91"/>
      <c r="AW182" s="158" t="s">
        <v>241</v>
      </c>
      <c r="AX182" s="158" t="s">
        <v>91</v>
      </c>
      <c r="AY182" s="158" t="str">
        <f t="shared" si="132"/>
        <v>工业高新区</v>
      </c>
      <c r="AZ182" s="158" t="str">
        <f t="shared" si="133"/>
        <v>工业</v>
      </c>
    </row>
    <row r="183" ht="80.1" customHeight="1" spans="1:52">
      <c r="A183" s="23">
        <f>SUBTOTAL(3,C$8:C183)</f>
        <v>144</v>
      </c>
      <c r="B183" s="54" t="s">
        <v>852</v>
      </c>
      <c r="C183" s="35" t="s">
        <v>810</v>
      </c>
      <c r="D183" s="123" t="s">
        <v>853</v>
      </c>
      <c r="E183" s="67">
        <v>2019</v>
      </c>
      <c r="F183" s="67">
        <v>5000</v>
      </c>
      <c r="G183" s="67"/>
      <c r="H183" s="81" t="s">
        <v>122</v>
      </c>
      <c r="I183" s="37">
        <v>2500</v>
      </c>
      <c r="J183" s="37">
        <v>5000</v>
      </c>
      <c r="K183" s="37">
        <v>5000</v>
      </c>
      <c r="L183" s="67">
        <v>5000</v>
      </c>
      <c r="M183" s="67">
        <v>5000</v>
      </c>
      <c r="N183" s="112" t="s">
        <v>432</v>
      </c>
      <c r="O183" s="133"/>
      <c r="P183" s="134"/>
      <c r="Q183" s="37"/>
      <c r="R183" s="37"/>
      <c r="S183" s="37"/>
      <c r="T183" s="37"/>
      <c r="U183" s="37"/>
      <c r="V183" s="37"/>
      <c r="W183" s="37"/>
      <c r="X183" s="585"/>
      <c r="Y183" s="585"/>
      <c r="Z183" s="770"/>
      <c r="AA183" s="770"/>
      <c r="AB183" s="770"/>
      <c r="AC183" s="770"/>
      <c r="AD183" s="770"/>
      <c r="AE183" s="770"/>
      <c r="AF183" s="770"/>
      <c r="AG183" s="770"/>
      <c r="AH183" s="770"/>
      <c r="AI183" s="770"/>
      <c r="AJ183" s="770"/>
      <c r="AK183" s="770"/>
      <c r="AL183" s="770"/>
      <c r="AM183" s="770"/>
      <c r="AN183" s="770"/>
      <c r="AO183" s="67"/>
      <c r="AP183" s="770"/>
      <c r="AQ183" s="585"/>
      <c r="AR183" s="112" t="s">
        <v>117</v>
      </c>
      <c r="AS183" s="123" t="s">
        <v>854</v>
      </c>
      <c r="AT183" s="123" t="s">
        <v>240</v>
      </c>
      <c r="AU183" s="91"/>
      <c r="AW183" s="158" t="s">
        <v>241</v>
      </c>
      <c r="AX183" s="158" t="s">
        <v>91</v>
      </c>
      <c r="AY183" s="158" t="str">
        <f t="shared" si="132"/>
        <v>工业高新区</v>
      </c>
      <c r="AZ183" s="158" t="str">
        <f t="shared" si="133"/>
        <v>工业</v>
      </c>
    </row>
    <row r="184" ht="80.1" customHeight="1" spans="1:52">
      <c r="A184" s="23">
        <f>SUBTOTAL(3,C$8:C184)</f>
        <v>145</v>
      </c>
      <c r="B184" s="54" t="s">
        <v>855</v>
      </c>
      <c r="C184" s="35" t="s">
        <v>810</v>
      </c>
      <c r="D184" s="123" t="s">
        <v>856</v>
      </c>
      <c r="E184" s="67" t="s">
        <v>812</v>
      </c>
      <c r="F184" s="67">
        <v>4800</v>
      </c>
      <c r="G184" s="67">
        <v>4300</v>
      </c>
      <c r="H184" s="81" t="s">
        <v>122</v>
      </c>
      <c r="I184" s="37">
        <v>300</v>
      </c>
      <c r="J184" s="37">
        <v>500</v>
      </c>
      <c r="K184" s="37">
        <v>500</v>
      </c>
      <c r="L184" s="67">
        <v>500</v>
      </c>
      <c r="M184" s="67">
        <v>3000</v>
      </c>
      <c r="N184" s="112" t="s">
        <v>432</v>
      </c>
      <c r="O184" s="133"/>
      <c r="P184" s="134"/>
      <c r="Q184" s="37"/>
      <c r="R184" s="37"/>
      <c r="S184" s="37"/>
      <c r="T184" s="37"/>
      <c r="U184" s="37"/>
      <c r="V184" s="37"/>
      <c r="W184" s="37"/>
      <c r="X184" s="585"/>
      <c r="Y184" s="585"/>
      <c r="Z184" s="770"/>
      <c r="AA184" s="770"/>
      <c r="AB184" s="770"/>
      <c r="AC184" s="770"/>
      <c r="AD184" s="770"/>
      <c r="AE184" s="770"/>
      <c r="AF184" s="770"/>
      <c r="AG184" s="770"/>
      <c r="AH184" s="770"/>
      <c r="AI184" s="770"/>
      <c r="AJ184" s="770"/>
      <c r="AK184" s="770"/>
      <c r="AL184" s="770"/>
      <c r="AM184" s="770"/>
      <c r="AN184" s="770"/>
      <c r="AO184" s="134">
        <v>4300</v>
      </c>
      <c r="AP184" s="770"/>
      <c r="AQ184" s="585"/>
      <c r="AR184" s="112" t="s">
        <v>117</v>
      </c>
      <c r="AS184" s="123" t="s">
        <v>857</v>
      </c>
      <c r="AT184" s="123" t="s">
        <v>240</v>
      </c>
      <c r="AU184" s="91"/>
      <c r="AW184" s="158" t="s">
        <v>241</v>
      </c>
      <c r="AX184" s="158" t="s">
        <v>91</v>
      </c>
      <c r="AY184" s="158" t="str">
        <f t="shared" si="132"/>
        <v>工业高新区</v>
      </c>
      <c r="AZ184" s="158" t="str">
        <f t="shared" si="133"/>
        <v>工业</v>
      </c>
    </row>
    <row r="185" ht="15.95" hidden="1" customHeight="1" spans="1:47">
      <c r="A185" s="551"/>
      <c r="B185" s="908" t="str">
        <f>"灵山县（"&amp;SUBTOTAL(3,C186)&amp;"个）"</f>
        <v>灵山县（1个）</v>
      </c>
      <c r="C185" s="909"/>
      <c r="D185" s="910"/>
      <c r="E185" s="551"/>
      <c r="F185" s="134">
        <f>SUBTOTAL(9,F186)</f>
        <v>3000</v>
      </c>
      <c r="G185" s="134">
        <f t="shared" ref="G185:M185" si="134">SUBTOTAL(9,G186)</f>
        <v>500</v>
      </c>
      <c r="H185" s="134"/>
      <c r="I185" s="134">
        <f t="shared" si="134"/>
        <v>2500</v>
      </c>
      <c r="J185" s="134">
        <f t="shared" si="134"/>
        <v>2500</v>
      </c>
      <c r="K185" s="134">
        <f t="shared" si="134"/>
        <v>2500</v>
      </c>
      <c r="L185" s="134">
        <f t="shared" si="134"/>
        <v>2500</v>
      </c>
      <c r="M185" s="134">
        <f t="shared" si="134"/>
        <v>8000</v>
      </c>
      <c r="N185" s="134"/>
      <c r="O185" s="134">
        <f t="shared" ref="G185:AP187" si="135">SUBTOTAL(9,O186:O189)</f>
        <v>0</v>
      </c>
      <c r="P185" s="134">
        <f t="shared" si="135"/>
        <v>0</v>
      </c>
      <c r="Q185" s="134">
        <f t="shared" si="135"/>
        <v>0</v>
      </c>
      <c r="R185" s="134">
        <f t="shared" si="135"/>
        <v>0</v>
      </c>
      <c r="S185" s="134">
        <f t="shared" si="135"/>
        <v>0</v>
      </c>
      <c r="T185" s="134">
        <f t="shared" si="135"/>
        <v>0</v>
      </c>
      <c r="U185" s="134">
        <f t="shared" si="135"/>
        <v>0</v>
      </c>
      <c r="V185" s="134">
        <f t="shared" si="135"/>
        <v>0</v>
      </c>
      <c r="W185" s="134">
        <f t="shared" si="135"/>
        <v>0</v>
      </c>
      <c r="X185" s="134">
        <f t="shared" si="135"/>
        <v>0</v>
      </c>
      <c r="Y185" s="134">
        <f t="shared" si="135"/>
        <v>0</v>
      </c>
      <c r="Z185" s="134">
        <f t="shared" si="135"/>
        <v>0</v>
      </c>
      <c r="AA185" s="134">
        <f t="shared" si="135"/>
        <v>0</v>
      </c>
      <c r="AB185" s="134">
        <f t="shared" si="135"/>
        <v>0</v>
      </c>
      <c r="AC185" s="134">
        <f t="shared" si="135"/>
        <v>0</v>
      </c>
      <c r="AD185" s="134">
        <f t="shared" si="135"/>
        <v>0</v>
      </c>
      <c r="AE185" s="134">
        <f t="shared" si="135"/>
        <v>0</v>
      </c>
      <c r="AF185" s="134">
        <f t="shared" si="135"/>
        <v>0</v>
      </c>
      <c r="AG185" s="134">
        <f t="shared" si="135"/>
        <v>0</v>
      </c>
      <c r="AH185" s="134">
        <f t="shared" si="135"/>
        <v>0</v>
      </c>
      <c r="AI185" s="134">
        <f t="shared" si="135"/>
        <v>0</v>
      </c>
      <c r="AJ185" s="134">
        <f t="shared" si="135"/>
        <v>0</v>
      </c>
      <c r="AK185" s="134">
        <f t="shared" si="135"/>
        <v>0</v>
      </c>
      <c r="AL185" s="134">
        <f t="shared" si="135"/>
        <v>0</v>
      </c>
      <c r="AM185" s="134">
        <f t="shared" si="135"/>
        <v>0</v>
      </c>
      <c r="AN185" s="134">
        <f t="shared" si="135"/>
        <v>0</v>
      </c>
      <c r="AO185" s="134">
        <f t="shared" si="135"/>
        <v>0</v>
      </c>
      <c r="AP185" s="134">
        <f t="shared" si="135"/>
        <v>0</v>
      </c>
      <c r="AQ185" s="585"/>
      <c r="AR185" s="112"/>
      <c r="AS185" s="591"/>
      <c r="AT185" s="134"/>
      <c r="AU185" s="91"/>
    </row>
    <row r="186" s="6" customFormat="1" ht="69.95" customHeight="1" spans="1:66">
      <c r="A186" s="23">
        <f>SUBTOTAL(3,C$11:C186)</f>
        <v>146</v>
      </c>
      <c r="B186" s="921" t="s">
        <v>858</v>
      </c>
      <c r="C186" s="35" t="s">
        <v>810</v>
      </c>
      <c r="D186" s="270" t="s">
        <v>859</v>
      </c>
      <c r="E186" s="35">
        <v>2019</v>
      </c>
      <c r="F186" s="36">
        <v>3000</v>
      </c>
      <c r="G186" s="36">
        <v>500</v>
      </c>
      <c r="H186" s="81" t="s">
        <v>195</v>
      </c>
      <c r="I186" s="37">
        <v>2500</v>
      </c>
      <c r="J186" s="37">
        <v>2500</v>
      </c>
      <c r="K186" s="37">
        <v>2500</v>
      </c>
      <c r="L186" s="37">
        <v>2500</v>
      </c>
      <c r="M186" s="36">
        <v>8000</v>
      </c>
      <c r="N186" s="131" t="s">
        <v>432</v>
      </c>
      <c r="O186" s="56"/>
      <c r="P186" s="127"/>
      <c r="Q186" s="115"/>
      <c r="R186" s="115"/>
      <c r="S186" s="115"/>
      <c r="T186" s="115"/>
      <c r="U186" s="115"/>
      <c r="V186" s="115"/>
      <c r="W186" s="115"/>
      <c r="X186" s="55"/>
      <c r="Y186" s="90"/>
      <c r="Z186" s="132"/>
      <c r="AA186" s="132"/>
      <c r="AB186" s="132"/>
      <c r="AC186" s="132"/>
      <c r="AD186" s="132"/>
      <c r="AE186" s="132"/>
      <c r="AF186" s="132"/>
      <c r="AG186" s="132"/>
      <c r="AH186" s="132"/>
      <c r="AI186" s="132"/>
      <c r="AJ186" s="132"/>
      <c r="AK186" s="132"/>
      <c r="AL186" s="132"/>
      <c r="AM186" s="132"/>
      <c r="AN186" s="132"/>
      <c r="AO186" s="132"/>
      <c r="AP186" s="132"/>
      <c r="AQ186" s="90"/>
      <c r="AR186" s="112" t="s">
        <v>117</v>
      </c>
      <c r="AS186" s="34" t="s">
        <v>860</v>
      </c>
      <c r="AT186" s="34" t="s">
        <v>269</v>
      </c>
      <c r="AU186" s="171"/>
      <c r="AV186" s="157"/>
      <c r="AW186" s="158" t="s">
        <v>270</v>
      </c>
      <c r="AX186" s="158" t="s">
        <v>91</v>
      </c>
      <c r="AY186" s="158" t="str">
        <f t="shared" ref="AY186:AY191" si="136">AX186&amp;AW186</f>
        <v>工业灵山县</v>
      </c>
      <c r="AZ186" s="158" t="str">
        <f t="shared" ref="AZ186:AZ191" si="137">AX186</f>
        <v>工业</v>
      </c>
      <c r="BA186" s="167"/>
      <c r="BB186" s="160"/>
      <c r="BC186" s="157"/>
      <c r="BD186" s="157"/>
      <c r="BE186" s="157"/>
      <c r="BF186" s="157"/>
      <c r="BG186" s="157"/>
      <c r="BH186" s="157"/>
      <c r="BI186" s="157" t="str">
        <f>AT186&amp;H186</f>
        <v>灵山县人民政府3月</v>
      </c>
      <c r="BJ186" s="157" t="s">
        <v>92</v>
      </c>
      <c r="BK186" s="157" t="s">
        <v>93</v>
      </c>
      <c r="BL186" s="201" t="str">
        <f>BJ186&amp;AT186</f>
        <v>企业灵山县人民政府</v>
      </c>
      <c r="BM186" s="201" t="str">
        <f>BK186&amp;AT186</f>
        <v>产业灵山县人民政府</v>
      </c>
      <c r="BN186" s="201">
        <f>IF(O186&gt;0,1,0)</f>
        <v>0</v>
      </c>
    </row>
    <row r="187" ht="15.95" hidden="1" customHeight="1" spans="1:47">
      <c r="A187" s="551"/>
      <c r="B187" s="908" t="str">
        <f>"浦北县（"&amp;SUBTOTAL(3,C188:C191)&amp;"个）"</f>
        <v>浦北县（4个）</v>
      </c>
      <c r="C187" s="909"/>
      <c r="D187" s="910"/>
      <c r="E187" s="551"/>
      <c r="F187" s="134">
        <f>SUBTOTAL(9,F188:F191)</f>
        <v>28700</v>
      </c>
      <c r="G187" s="134">
        <f t="shared" si="135"/>
        <v>4200</v>
      </c>
      <c r="H187" s="134"/>
      <c r="I187" s="134">
        <f t="shared" si="135"/>
        <v>9600</v>
      </c>
      <c r="J187" s="134">
        <f t="shared" si="135"/>
        <v>16900</v>
      </c>
      <c r="K187" s="134">
        <f t="shared" si="135"/>
        <v>20900</v>
      </c>
      <c r="L187" s="134">
        <f t="shared" si="135"/>
        <v>24500</v>
      </c>
      <c r="M187" s="134">
        <f t="shared" si="135"/>
        <v>36000</v>
      </c>
      <c r="N187" s="134"/>
      <c r="O187" s="134">
        <f t="shared" si="135"/>
        <v>0</v>
      </c>
      <c r="P187" s="134">
        <f t="shared" si="135"/>
        <v>0</v>
      </c>
      <c r="Q187" s="134">
        <f t="shared" si="135"/>
        <v>0</v>
      </c>
      <c r="R187" s="134">
        <f t="shared" si="135"/>
        <v>0</v>
      </c>
      <c r="S187" s="134">
        <f t="shared" si="135"/>
        <v>0</v>
      </c>
      <c r="T187" s="134">
        <f t="shared" si="135"/>
        <v>0</v>
      </c>
      <c r="U187" s="134">
        <f t="shared" si="135"/>
        <v>0</v>
      </c>
      <c r="V187" s="134">
        <f t="shared" si="135"/>
        <v>0</v>
      </c>
      <c r="W187" s="134">
        <f t="shared" si="135"/>
        <v>0</v>
      </c>
      <c r="X187" s="134">
        <f t="shared" si="135"/>
        <v>0</v>
      </c>
      <c r="Y187" s="134">
        <f t="shared" si="135"/>
        <v>0</v>
      </c>
      <c r="Z187" s="134">
        <f t="shared" si="135"/>
        <v>0</v>
      </c>
      <c r="AA187" s="134">
        <f t="shared" si="135"/>
        <v>0</v>
      </c>
      <c r="AB187" s="134">
        <f t="shared" si="135"/>
        <v>0</v>
      </c>
      <c r="AC187" s="134">
        <f t="shared" si="135"/>
        <v>0</v>
      </c>
      <c r="AD187" s="134">
        <f t="shared" si="135"/>
        <v>0</v>
      </c>
      <c r="AE187" s="134">
        <f t="shared" si="135"/>
        <v>0</v>
      </c>
      <c r="AF187" s="134">
        <f t="shared" si="135"/>
        <v>0</v>
      </c>
      <c r="AG187" s="134">
        <f t="shared" si="135"/>
        <v>0</v>
      </c>
      <c r="AH187" s="134">
        <f t="shared" si="135"/>
        <v>0</v>
      </c>
      <c r="AI187" s="134">
        <f t="shared" si="135"/>
        <v>0</v>
      </c>
      <c r="AJ187" s="134">
        <f t="shared" si="135"/>
        <v>0</v>
      </c>
      <c r="AK187" s="134">
        <f t="shared" si="135"/>
        <v>0</v>
      </c>
      <c r="AL187" s="134">
        <f t="shared" si="135"/>
        <v>0</v>
      </c>
      <c r="AM187" s="134">
        <f t="shared" si="135"/>
        <v>0</v>
      </c>
      <c r="AN187" s="134">
        <f t="shared" si="135"/>
        <v>0</v>
      </c>
      <c r="AO187" s="134">
        <f t="shared" si="135"/>
        <v>0</v>
      </c>
      <c r="AP187" s="134">
        <f t="shared" si="135"/>
        <v>0</v>
      </c>
      <c r="AQ187" s="585"/>
      <c r="AR187" s="112"/>
      <c r="AS187" s="591"/>
      <c r="AT187" s="134"/>
      <c r="AU187" s="91"/>
    </row>
    <row r="188" ht="75.95" customHeight="1" spans="1:52">
      <c r="A188" s="23">
        <f>SUBTOTAL(3,C$8:C188)</f>
        <v>147</v>
      </c>
      <c r="B188" s="561" t="s">
        <v>861</v>
      </c>
      <c r="C188" s="35" t="s">
        <v>810</v>
      </c>
      <c r="D188" s="562" t="s">
        <v>862</v>
      </c>
      <c r="E188" s="35" t="s">
        <v>812</v>
      </c>
      <c r="F188" s="35">
        <v>12100</v>
      </c>
      <c r="G188" s="560">
        <v>1500</v>
      </c>
      <c r="H188" s="81" t="s">
        <v>263</v>
      </c>
      <c r="I188" s="37">
        <v>2000</v>
      </c>
      <c r="J188" s="37">
        <v>5000</v>
      </c>
      <c r="K188" s="37">
        <v>8000</v>
      </c>
      <c r="L188" s="560">
        <v>10600</v>
      </c>
      <c r="M188" s="560">
        <v>5000</v>
      </c>
      <c r="N188" s="112" t="s">
        <v>432</v>
      </c>
      <c r="O188" s="133"/>
      <c r="P188" s="134"/>
      <c r="Q188" s="37"/>
      <c r="R188" s="37"/>
      <c r="S188" s="37"/>
      <c r="T188" s="37"/>
      <c r="U188" s="37"/>
      <c r="V188" s="37"/>
      <c r="W188" s="37"/>
      <c r="X188" s="585"/>
      <c r="Y188" s="585"/>
      <c r="Z188" s="770"/>
      <c r="AA188" s="770"/>
      <c r="AB188" s="770"/>
      <c r="AC188" s="770"/>
      <c r="AD188" s="770"/>
      <c r="AE188" s="770"/>
      <c r="AF188" s="770"/>
      <c r="AG188" s="770"/>
      <c r="AH188" s="770"/>
      <c r="AI188" s="770"/>
      <c r="AJ188" s="770"/>
      <c r="AK188" s="770"/>
      <c r="AL188" s="770"/>
      <c r="AM188" s="770"/>
      <c r="AN188" s="770"/>
      <c r="AO188" s="770"/>
      <c r="AP188" s="770"/>
      <c r="AQ188" s="585"/>
      <c r="AR188" s="112" t="s">
        <v>863</v>
      </c>
      <c r="AS188" s="123" t="s">
        <v>864</v>
      </c>
      <c r="AT188" s="34" t="s">
        <v>317</v>
      </c>
      <c r="AU188" s="91"/>
      <c r="AW188" s="158" t="s">
        <v>318</v>
      </c>
      <c r="AX188" s="158" t="s">
        <v>91</v>
      </c>
      <c r="AY188" s="158" t="str">
        <f t="shared" si="136"/>
        <v>工业浦北县</v>
      </c>
      <c r="AZ188" s="158" t="str">
        <f t="shared" si="137"/>
        <v>工业</v>
      </c>
    </row>
    <row r="189" ht="75.95" customHeight="1" spans="1:52">
      <c r="A189" s="23">
        <f>SUBTOTAL(3,C$8:C189)</f>
        <v>148</v>
      </c>
      <c r="B189" s="561" t="s">
        <v>865</v>
      </c>
      <c r="C189" s="35" t="s">
        <v>810</v>
      </c>
      <c r="D189" s="562" t="s">
        <v>866</v>
      </c>
      <c r="E189" s="35" t="s">
        <v>812</v>
      </c>
      <c r="F189" s="35">
        <v>6600</v>
      </c>
      <c r="G189" s="560">
        <v>1000</v>
      </c>
      <c r="H189" s="81" t="s">
        <v>122</v>
      </c>
      <c r="I189" s="37">
        <v>2600</v>
      </c>
      <c r="J189" s="37">
        <v>5600</v>
      </c>
      <c r="K189" s="37">
        <v>5600</v>
      </c>
      <c r="L189" s="560">
        <v>5600</v>
      </c>
      <c r="M189" s="560">
        <v>9000</v>
      </c>
      <c r="N189" s="112" t="s">
        <v>432</v>
      </c>
      <c r="O189" s="133"/>
      <c r="P189" s="134"/>
      <c r="Q189" s="37"/>
      <c r="R189" s="37"/>
      <c r="S189" s="37"/>
      <c r="T189" s="37"/>
      <c r="U189" s="37"/>
      <c r="V189" s="37"/>
      <c r="W189" s="37"/>
      <c r="X189" s="585"/>
      <c r="Y189" s="585"/>
      <c r="Z189" s="770"/>
      <c r="AA189" s="770"/>
      <c r="AB189" s="770"/>
      <c r="AC189" s="770"/>
      <c r="AD189" s="770"/>
      <c r="AE189" s="770"/>
      <c r="AF189" s="770"/>
      <c r="AG189" s="770"/>
      <c r="AH189" s="770"/>
      <c r="AI189" s="770"/>
      <c r="AJ189" s="770"/>
      <c r="AK189" s="770"/>
      <c r="AL189" s="770"/>
      <c r="AM189" s="770"/>
      <c r="AN189" s="770"/>
      <c r="AO189" s="770"/>
      <c r="AP189" s="770"/>
      <c r="AQ189" s="585"/>
      <c r="AR189" s="112" t="s">
        <v>867</v>
      </c>
      <c r="AS189" s="123" t="s">
        <v>868</v>
      </c>
      <c r="AT189" s="34" t="s">
        <v>317</v>
      </c>
      <c r="AU189" s="91"/>
      <c r="AW189" s="158" t="s">
        <v>318</v>
      </c>
      <c r="AX189" s="158" t="s">
        <v>91</v>
      </c>
      <c r="AY189" s="158" t="str">
        <f t="shared" si="136"/>
        <v>工业浦北县</v>
      </c>
      <c r="AZ189" s="158" t="str">
        <f t="shared" si="137"/>
        <v>工业</v>
      </c>
    </row>
    <row r="190" ht="63" customHeight="1" spans="1:52">
      <c r="A190" s="23">
        <f>SUBTOTAL(3,C$8:C190)</f>
        <v>149</v>
      </c>
      <c r="B190" s="561" t="s">
        <v>869</v>
      </c>
      <c r="C190" s="35" t="s">
        <v>810</v>
      </c>
      <c r="D190" s="562" t="s">
        <v>870</v>
      </c>
      <c r="E190" s="35" t="s">
        <v>812</v>
      </c>
      <c r="F190" s="35">
        <v>5000</v>
      </c>
      <c r="G190" s="560">
        <v>1000</v>
      </c>
      <c r="H190" s="81" t="s">
        <v>122</v>
      </c>
      <c r="I190" s="37">
        <v>1000</v>
      </c>
      <c r="J190" s="37">
        <v>2000</v>
      </c>
      <c r="K190" s="37">
        <v>3000</v>
      </c>
      <c r="L190" s="560">
        <v>4000</v>
      </c>
      <c r="M190" s="560">
        <v>7000</v>
      </c>
      <c r="N190" s="112" t="s">
        <v>432</v>
      </c>
      <c r="O190" s="133"/>
      <c r="P190" s="134"/>
      <c r="Q190" s="37"/>
      <c r="R190" s="37"/>
      <c r="S190" s="37"/>
      <c r="T190" s="37"/>
      <c r="U190" s="37"/>
      <c r="V190" s="37"/>
      <c r="W190" s="37"/>
      <c r="X190" s="585"/>
      <c r="Y190" s="585"/>
      <c r="Z190" s="770"/>
      <c r="AA190" s="770"/>
      <c r="AB190" s="770"/>
      <c r="AC190" s="770"/>
      <c r="AD190" s="770"/>
      <c r="AE190" s="770"/>
      <c r="AF190" s="770"/>
      <c r="AG190" s="770"/>
      <c r="AH190" s="770"/>
      <c r="AI190" s="770"/>
      <c r="AJ190" s="770"/>
      <c r="AK190" s="770"/>
      <c r="AL190" s="770"/>
      <c r="AM190" s="770"/>
      <c r="AN190" s="770"/>
      <c r="AO190" s="770"/>
      <c r="AP190" s="770"/>
      <c r="AQ190" s="585"/>
      <c r="AR190" s="112" t="s">
        <v>117</v>
      </c>
      <c r="AS190" s="123" t="s">
        <v>871</v>
      </c>
      <c r="AT190" s="34" t="s">
        <v>317</v>
      </c>
      <c r="AU190" s="91"/>
      <c r="AW190" s="158" t="s">
        <v>318</v>
      </c>
      <c r="AX190" s="158" t="s">
        <v>91</v>
      </c>
      <c r="AY190" s="158" t="str">
        <f t="shared" si="136"/>
        <v>工业浦北县</v>
      </c>
      <c r="AZ190" s="158" t="str">
        <f t="shared" si="137"/>
        <v>工业</v>
      </c>
    </row>
    <row r="191" ht="63" customHeight="1" spans="1:52">
      <c r="A191" s="23">
        <f>SUBTOTAL(3,C$11:C191)</f>
        <v>150</v>
      </c>
      <c r="B191" s="561" t="s">
        <v>872</v>
      </c>
      <c r="C191" s="35" t="s">
        <v>810</v>
      </c>
      <c r="D191" s="562" t="s">
        <v>873</v>
      </c>
      <c r="E191" s="35" t="s">
        <v>812</v>
      </c>
      <c r="F191" s="35">
        <v>5000</v>
      </c>
      <c r="G191" s="560">
        <v>700</v>
      </c>
      <c r="H191" s="81" t="s">
        <v>177</v>
      </c>
      <c r="I191" s="37">
        <v>4000</v>
      </c>
      <c r="J191" s="37">
        <v>4300</v>
      </c>
      <c r="K191" s="37">
        <v>4300</v>
      </c>
      <c r="L191" s="560">
        <v>4300</v>
      </c>
      <c r="M191" s="560">
        <v>15000</v>
      </c>
      <c r="N191" s="112" t="s">
        <v>432</v>
      </c>
      <c r="O191" s="133"/>
      <c r="P191" s="134"/>
      <c r="Q191" s="37"/>
      <c r="R191" s="37"/>
      <c r="S191" s="37"/>
      <c r="T191" s="37"/>
      <c r="U191" s="37"/>
      <c r="V191" s="37"/>
      <c r="W191" s="37"/>
      <c r="X191" s="585"/>
      <c r="Y191" s="585"/>
      <c r="Z191" s="770"/>
      <c r="AA191" s="770"/>
      <c r="AB191" s="770"/>
      <c r="AC191" s="770"/>
      <c r="AD191" s="770"/>
      <c r="AE191" s="770"/>
      <c r="AF191" s="770"/>
      <c r="AG191" s="770"/>
      <c r="AH191" s="770"/>
      <c r="AI191" s="770"/>
      <c r="AJ191" s="770"/>
      <c r="AK191" s="770"/>
      <c r="AL191" s="770"/>
      <c r="AM191" s="770"/>
      <c r="AN191" s="770"/>
      <c r="AO191" s="770"/>
      <c r="AP191" s="770"/>
      <c r="AQ191" s="585"/>
      <c r="AR191" s="112" t="s">
        <v>117</v>
      </c>
      <c r="AS191" s="123" t="s">
        <v>874</v>
      </c>
      <c r="AT191" s="34" t="s">
        <v>317</v>
      </c>
      <c r="AU191" s="91"/>
      <c r="AW191" s="158" t="s">
        <v>318</v>
      </c>
      <c r="AX191" s="158" t="s">
        <v>91</v>
      </c>
      <c r="AY191" s="158" t="str">
        <f t="shared" si="136"/>
        <v>工业浦北县</v>
      </c>
      <c r="AZ191" s="158" t="str">
        <f t="shared" si="137"/>
        <v>工业</v>
      </c>
    </row>
    <row r="192" ht="15.95" hidden="1" customHeight="1" spans="1:47">
      <c r="A192" s="551"/>
      <c r="B192" s="908" t="str">
        <f>"钦南区（"&amp;SUBTOTAL(3,C193:C195)&amp;"个）"</f>
        <v>钦南区（3个）</v>
      </c>
      <c r="C192" s="909"/>
      <c r="D192" s="910"/>
      <c r="E192" s="551"/>
      <c r="F192" s="134">
        <f>SUBTOTAL(9,F193:F195)</f>
        <v>30600</v>
      </c>
      <c r="G192" s="134">
        <f t="shared" ref="G192:AQ192" si="138">SUBTOTAL(9,G193:G195)</f>
        <v>23635</v>
      </c>
      <c r="H192" s="134"/>
      <c r="I192" s="134">
        <f t="shared" si="138"/>
        <v>3120</v>
      </c>
      <c r="J192" s="134">
        <f t="shared" si="138"/>
        <v>6615</v>
      </c>
      <c r="K192" s="134">
        <f t="shared" si="138"/>
        <v>6855</v>
      </c>
      <c r="L192" s="134">
        <f t="shared" si="138"/>
        <v>6965</v>
      </c>
      <c r="M192" s="134">
        <f t="shared" si="138"/>
        <v>32000</v>
      </c>
      <c r="N192" s="134"/>
      <c r="O192" s="134">
        <f t="shared" si="138"/>
        <v>0</v>
      </c>
      <c r="P192" s="134">
        <f t="shared" si="138"/>
        <v>0</v>
      </c>
      <c r="Q192" s="134">
        <f t="shared" si="138"/>
        <v>0</v>
      </c>
      <c r="R192" s="134">
        <f t="shared" si="138"/>
        <v>0</v>
      </c>
      <c r="S192" s="134">
        <f t="shared" si="138"/>
        <v>0</v>
      </c>
      <c r="T192" s="134">
        <f t="shared" si="138"/>
        <v>0</v>
      </c>
      <c r="U192" s="134">
        <f t="shared" si="138"/>
        <v>0</v>
      </c>
      <c r="V192" s="134">
        <f t="shared" si="138"/>
        <v>0</v>
      </c>
      <c r="W192" s="134">
        <f t="shared" si="138"/>
        <v>0</v>
      </c>
      <c r="X192" s="134">
        <f t="shared" si="138"/>
        <v>0</v>
      </c>
      <c r="Y192" s="134">
        <f t="shared" si="138"/>
        <v>0</v>
      </c>
      <c r="Z192" s="134">
        <f t="shared" si="138"/>
        <v>0</v>
      </c>
      <c r="AA192" s="134">
        <f t="shared" si="138"/>
        <v>0</v>
      </c>
      <c r="AB192" s="134">
        <f t="shared" si="138"/>
        <v>0</v>
      </c>
      <c r="AC192" s="134">
        <f t="shared" si="138"/>
        <v>0</v>
      </c>
      <c r="AD192" s="134">
        <f t="shared" si="138"/>
        <v>0</v>
      </c>
      <c r="AE192" s="134">
        <f t="shared" si="138"/>
        <v>0</v>
      </c>
      <c r="AF192" s="134">
        <f t="shared" si="138"/>
        <v>0</v>
      </c>
      <c r="AG192" s="134">
        <f t="shared" si="138"/>
        <v>0</v>
      </c>
      <c r="AH192" s="134">
        <f t="shared" si="138"/>
        <v>0</v>
      </c>
      <c r="AI192" s="134">
        <f t="shared" si="138"/>
        <v>0</v>
      </c>
      <c r="AJ192" s="134">
        <f t="shared" si="138"/>
        <v>0</v>
      </c>
      <c r="AK192" s="134">
        <f t="shared" si="138"/>
        <v>0</v>
      </c>
      <c r="AL192" s="134">
        <f t="shared" si="138"/>
        <v>0</v>
      </c>
      <c r="AM192" s="134">
        <f t="shared" si="138"/>
        <v>0</v>
      </c>
      <c r="AN192" s="134">
        <f t="shared" si="138"/>
        <v>0</v>
      </c>
      <c r="AO192" s="134">
        <f t="shared" si="138"/>
        <v>0</v>
      </c>
      <c r="AP192" s="134">
        <f t="shared" si="138"/>
        <v>0</v>
      </c>
      <c r="AQ192" s="134">
        <f t="shared" si="138"/>
        <v>0</v>
      </c>
      <c r="AR192" s="112"/>
      <c r="AS192" s="591"/>
      <c r="AT192" s="134"/>
      <c r="AU192" s="91"/>
    </row>
    <row r="193" ht="80.1" customHeight="1" spans="1:52">
      <c r="A193" s="23">
        <f>SUBTOTAL(3,C$8:C193)</f>
        <v>151</v>
      </c>
      <c r="B193" s="233" t="s">
        <v>875</v>
      </c>
      <c r="C193" s="87" t="s">
        <v>810</v>
      </c>
      <c r="D193" s="86" t="s">
        <v>876</v>
      </c>
      <c r="E193" s="87" t="s">
        <v>812</v>
      </c>
      <c r="F193" s="234">
        <v>10000</v>
      </c>
      <c r="G193" s="234">
        <v>5075</v>
      </c>
      <c r="H193" s="81" t="s">
        <v>122</v>
      </c>
      <c r="I193" s="37">
        <v>2500</v>
      </c>
      <c r="J193" s="37">
        <v>4925</v>
      </c>
      <c r="K193" s="37">
        <v>4925</v>
      </c>
      <c r="L193" s="234">
        <v>4925</v>
      </c>
      <c r="M193" s="234">
        <v>12000</v>
      </c>
      <c r="N193" s="112" t="s">
        <v>432</v>
      </c>
      <c r="O193" s="133"/>
      <c r="P193" s="134"/>
      <c r="Q193" s="37"/>
      <c r="R193" s="37"/>
      <c r="S193" s="37"/>
      <c r="T193" s="37"/>
      <c r="U193" s="37"/>
      <c r="V193" s="37"/>
      <c r="W193" s="37"/>
      <c r="X193" s="585"/>
      <c r="Y193" s="585"/>
      <c r="Z193" s="770"/>
      <c r="AA193" s="770"/>
      <c r="AB193" s="770"/>
      <c r="AC193" s="770"/>
      <c r="AD193" s="770"/>
      <c r="AE193" s="770"/>
      <c r="AF193" s="770"/>
      <c r="AG193" s="770"/>
      <c r="AH193" s="770"/>
      <c r="AI193" s="770"/>
      <c r="AJ193" s="770"/>
      <c r="AK193" s="770"/>
      <c r="AL193" s="770"/>
      <c r="AM193" s="770"/>
      <c r="AN193" s="770"/>
      <c r="AO193" s="770"/>
      <c r="AP193" s="770"/>
      <c r="AQ193" s="585"/>
      <c r="AR193" s="112" t="s">
        <v>117</v>
      </c>
      <c r="AS193" s="86" t="s">
        <v>877</v>
      </c>
      <c r="AT193" s="34" t="s">
        <v>359</v>
      </c>
      <c r="AU193" s="91"/>
      <c r="AW193" s="158" t="s">
        <v>360</v>
      </c>
      <c r="AX193" s="158" t="s">
        <v>91</v>
      </c>
      <c r="AY193" s="158" t="str">
        <f t="shared" ref="AY193:AY195" si="139">AX193&amp;AW193</f>
        <v>工业钦南区</v>
      </c>
      <c r="AZ193" s="158" t="str">
        <f t="shared" ref="AZ193:AZ195" si="140">AX193</f>
        <v>工业</v>
      </c>
    </row>
    <row r="194" ht="67.5" customHeight="1" spans="1:52">
      <c r="A194" s="23">
        <f>SUBTOTAL(3,C$8:C194)</f>
        <v>152</v>
      </c>
      <c r="B194" s="233" t="s">
        <v>878</v>
      </c>
      <c r="C194" s="87" t="s">
        <v>810</v>
      </c>
      <c r="D194" s="86" t="s">
        <v>879</v>
      </c>
      <c r="E194" s="87" t="s">
        <v>812</v>
      </c>
      <c r="F194" s="234">
        <v>10600</v>
      </c>
      <c r="G194" s="234">
        <v>9560</v>
      </c>
      <c r="H194" s="81" t="s">
        <v>122</v>
      </c>
      <c r="I194" s="37">
        <v>520</v>
      </c>
      <c r="J194" s="37">
        <v>1040</v>
      </c>
      <c r="K194" s="37">
        <v>1040</v>
      </c>
      <c r="L194" s="234">
        <v>1040</v>
      </c>
      <c r="M194" s="234">
        <v>10000</v>
      </c>
      <c r="N194" s="112" t="s">
        <v>432</v>
      </c>
      <c r="O194" s="133"/>
      <c r="P194" s="134"/>
      <c r="Q194" s="37"/>
      <c r="R194" s="37"/>
      <c r="S194" s="37"/>
      <c r="T194" s="37"/>
      <c r="U194" s="37"/>
      <c r="V194" s="37"/>
      <c r="W194" s="37"/>
      <c r="X194" s="585"/>
      <c r="Y194" s="585"/>
      <c r="Z194" s="770"/>
      <c r="AA194" s="770"/>
      <c r="AB194" s="770"/>
      <c r="AC194" s="770"/>
      <c r="AD194" s="770"/>
      <c r="AE194" s="770"/>
      <c r="AF194" s="770"/>
      <c r="AG194" s="770"/>
      <c r="AH194" s="770"/>
      <c r="AI194" s="770"/>
      <c r="AJ194" s="770"/>
      <c r="AK194" s="770"/>
      <c r="AL194" s="770"/>
      <c r="AM194" s="770"/>
      <c r="AN194" s="770"/>
      <c r="AO194" s="770"/>
      <c r="AP194" s="770"/>
      <c r="AQ194" s="585"/>
      <c r="AR194" s="112" t="s">
        <v>117</v>
      </c>
      <c r="AS194" s="86" t="s">
        <v>880</v>
      </c>
      <c r="AT194" s="34" t="s">
        <v>359</v>
      </c>
      <c r="AU194" s="91"/>
      <c r="AW194" s="158" t="s">
        <v>360</v>
      </c>
      <c r="AX194" s="158" t="s">
        <v>91</v>
      </c>
      <c r="AY194" s="158" t="str">
        <f t="shared" si="139"/>
        <v>工业钦南区</v>
      </c>
      <c r="AZ194" s="158" t="str">
        <f t="shared" si="140"/>
        <v>工业</v>
      </c>
    </row>
    <row r="195" ht="69.75" customHeight="1" spans="1:52">
      <c r="A195" s="23">
        <f>SUBTOTAL(3,C$8:C195)</f>
        <v>153</v>
      </c>
      <c r="B195" s="233" t="s">
        <v>881</v>
      </c>
      <c r="C195" s="87" t="s">
        <v>810</v>
      </c>
      <c r="D195" s="86" t="s">
        <v>882</v>
      </c>
      <c r="E195" s="87" t="s">
        <v>812</v>
      </c>
      <c r="F195" s="234">
        <v>10000</v>
      </c>
      <c r="G195" s="234">
        <v>9000</v>
      </c>
      <c r="H195" s="81" t="s">
        <v>131</v>
      </c>
      <c r="I195" s="37">
        <v>100</v>
      </c>
      <c r="J195" s="37">
        <v>650</v>
      </c>
      <c r="K195" s="37">
        <v>890</v>
      </c>
      <c r="L195" s="234">
        <v>1000</v>
      </c>
      <c r="M195" s="234">
        <v>10000</v>
      </c>
      <c r="N195" s="112" t="s">
        <v>432</v>
      </c>
      <c r="O195" s="133"/>
      <c r="P195" s="134"/>
      <c r="Q195" s="37"/>
      <c r="R195" s="37"/>
      <c r="S195" s="37"/>
      <c r="T195" s="37"/>
      <c r="U195" s="37"/>
      <c r="V195" s="37"/>
      <c r="W195" s="37"/>
      <c r="X195" s="585"/>
      <c r="Y195" s="585"/>
      <c r="Z195" s="770"/>
      <c r="AA195" s="770"/>
      <c r="AB195" s="770"/>
      <c r="AC195" s="770"/>
      <c r="AD195" s="770"/>
      <c r="AE195" s="770"/>
      <c r="AF195" s="770"/>
      <c r="AG195" s="770"/>
      <c r="AH195" s="770"/>
      <c r="AI195" s="770"/>
      <c r="AJ195" s="770"/>
      <c r="AK195" s="770"/>
      <c r="AL195" s="770"/>
      <c r="AM195" s="770"/>
      <c r="AN195" s="770"/>
      <c r="AO195" s="770"/>
      <c r="AP195" s="770"/>
      <c r="AQ195" s="585"/>
      <c r="AR195" s="125" t="s">
        <v>883</v>
      </c>
      <c r="AS195" s="86" t="s">
        <v>884</v>
      </c>
      <c r="AT195" s="34" t="s">
        <v>359</v>
      </c>
      <c r="AU195" s="91"/>
      <c r="AW195" s="158" t="s">
        <v>360</v>
      </c>
      <c r="AX195" s="158" t="s">
        <v>91</v>
      </c>
      <c r="AY195" s="158" t="str">
        <f t="shared" si="139"/>
        <v>工业钦南区</v>
      </c>
      <c r="AZ195" s="158" t="str">
        <f t="shared" si="140"/>
        <v>工业</v>
      </c>
    </row>
    <row r="196" ht="15.95" hidden="1" customHeight="1" spans="1:47">
      <c r="A196" s="551"/>
      <c r="B196" s="908" t="str">
        <f>"钦北区（"&amp;SUBTOTAL(3,C197:C200)&amp;"个）"</f>
        <v>钦北区（4个）</v>
      </c>
      <c r="C196" s="909"/>
      <c r="D196" s="910"/>
      <c r="E196" s="551"/>
      <c r="F196" s="134">
        <f>SUBTOTAL(9,F197:F200)</f>
        <v>39028</v>
      </c>
      <c r="G196" s="134">
        <f t="shared" ref="G196:AP196" si="141">SUBTOTAL(9,G197:G200)</f>
        <v>23200</v>
      </c>
      <c r="H196" s="134"/>
      <c r="I196" s="134">
        <f t="shared" si="141"/>
        <v>4000</v>
      </c>
      <c r="J196" s="134">
        <f t="shared" si="141"/>
        <v>7700</v>
      </c>
      <c r="K196" s="134">
        <f t="shared" si="141"/>
        <v>11700</v>
      </c>
      <c r="L196" s="134">
        <f t="shared" si="141"/>
        <v>15828</v>
      </c>
      <c r="M196" s="134">
        <f t="shared" si="141"/>
        <v>16200</v>
      </c>
      <c r="N196" s="134"/>
      <c r="O196" s="134">
        <f t="shared" si="141"/>
        <v>0</v>
      </c>
      <c r="P196" s="134">
        <f t="shared" si="141"/>
        <v>0</v>
      </c>
      <c r="Q196" s="134">
        <f t="shared" si="141"/>
        <v>0</v>
      </c>
      <c r="R196" s="134">
        <f t="shared" si="141"/>
        <v>0</v>
      </c>
      <c r="S196" s="134">
        <f t="shared" si="141"/>
        <v>0</v>
      </c>
      <c r="T196" s="134">
        <f t="shared" si="141"/>
        <v>0</v>
      </c>
      <c r="U196" s="134">
        <f t="shared" si="141"/>
        <v>0</v>
      </c>
      <c r="V196" s="134">
        <f t="shared" si="141"/>
        <v>0</v>
      </c>
      <c r="W196" s="134">
        <f t="shared" si="141"/>
        <v>0</v>
      </c>
      <c r="X196" s="134">
        <f t="shared" si="141"/>
        <v>0</v>
      </c>
      <c r="Y196" s="134">
        <f t="shared" si="141"/>
        <v>0</v>
      </c>
      <c r="Z196" s="134">
        <f t="shared" si="141"/>
        <v>166</v>
      </c>
      <c r="AA196" s="134">
        <f t="shared" si="141"/>
        <v>166</v>
      </c>
      <c r="AB196" s="134">
        <f t="shared" si="141"/>
        <v>0</v>
      </c>
      <c r="AC196" s="134">
        <f t="shared" si="141"/>
        <v>0</v>
      </c>
      <c r="AD196" s="134">
        <f t="shared" si="141"/>
        <v>0</v>
      </c>
      <c r="AE196" s="134">
        <f t="shared" si="141"/>
        <v>0</v>
      </c>
      <c r="AF196" s="134">
        <f t="shared" si="141"/>
        <v>0</v>
      </c>
      <c r="AG196" s="134">
        <f t="shared" si="141"/>
        <v>0</v>
      </c>
      <c r="AH196" s="134">
        <f t="shared" si="141"/>
        <v>0</v>
      </c>
      <c r="AI196" s="134">
        <f t="shared" si="141"/>
        <v>0</v>
      </c>
      <c r="AJ196" s="134">
        <f t="shared" si="141"/>
        <v>0</v>
      </c>
      <c r="AK196" s="134">
        <f t="shared" si="141"/>
        <v>0</v>
      </c>
      <c r="AL196" s="134">
        <f t="shared" si="141"/>
        <v>0</v>
      </c>
      <c r="AM196" s="134">
        <f t="shared" si="141"/>
        <v>0</v>
      </c>
      <c r="AN196" s="134">
        <f t="shared" si="141"/>
        <v>0</v>
      </c>
      <c r="AO196" s="134">
        <f t="shared" si="141"/>
        <v>0</v>
      </c>
      <c r="AP196" s="134">
        <f t="shared" si="141"/>
        <v>0</v>
      </c>
      <c r="AQ196" s="585"/>
      <c r="AR196" s="112"/>
      <c r="AS196" s="591"/>
      <c r="AT196" s="134"/>
      <c r="AU196" s="91"/>
    </row>
    <row r="197" ht="90" customHeight="1" spans="1:52">
      <c r="A197" s="23">
        <f>SUBTOTAL(3,C$8:C197)</f>
        <v>154</v>
      </c>
      <c r="B197" s="933" t="s">
        <v>885</v>
      </c>
      <c r="C197" s="905" t="s">
        <v>810</v>
      </c>
      <c r="D197" s="933" t="s">
        <v>886</v>
      </c>
      <c r="E197" s="23" t="s">
        <v>812</v>
      </c>
      <c r="F197" s="891">
        <v>16000</v>
      </c>
      <c r="G197" s="36">
        <v>12600</v>
      </c>
      <c r="H197" s="81" t="s">
        <v>113</v>
      </c>
      <c r="I197" s="578">
        <v>1000</v>
      </c>
      <c r="J197" s="578">
        <v>2000</v>
      </c>
      <c r="K197" s="578">
        <v>3400</v>
      </c>
      <c r="L197" s="36">
        <v>3400</v>
      </c>
      <c r="M197" s="36">
        <v>10000</v>
      </c>
      <c r="N197" s="112" t="s">
        <v>432</v>
      </c>
      <c r="O197" s="133"/>
      <c r="P197" s="134"/>
      <c r="Q197" s="37"/>
      <c r="R197" s="37"/>
      <c r="S197" s="37"/>
      <c r="T197" s="37"/>
      <c r="U197" s="37"/>
      <c r="V197" s="37"/>
      <c r="W197" s="37"/>
      <c r="X197" s="585"/>
      <c r="Y197" s="585"/>
      <c r="Z197" s="99">
        <v>78</v>
      </c>
      <c r="AA197" s="99">
        <v>78</v>
      </c>
      <c r="AB197" s="770"/>
      <c r="AC197" s="770"/>
      <c r="AD197" s="770"/>
      <c r="AE197" s="770"/>
      <c r="AF197" s="770"/>
      <c r="AG197" s="770"/>
      <c r="AH197" s="770"/>
      <c r="AI197" s="770"/>
      <c r="AJ197" s="770"/>
      <c r="AK197" s="770"/>
      <c r="AL197" s="770"/>
      <c r="AM197" s="770"/>
      <c r="AN197" s="770"/>
      <c r="AO197" s="770"/>
      <c r="AP197" s="770"/>
      <c r="AQ197" s="585"/>
      <c r="AR197" s="112" t="s">
        <v>887</v>
      </c>
      <c r="AS197" s="934" t="s">
        <v>888</v>
      </c>
      <c r="AT197" s="34" t="s">
        <v>375</v>
      </c>
      <c r="AU197" s="91"/>
      <c r="AW197" s="158" t="s">
        <v>376</v>
      </c>
      <c r="AX197" s="158" t="s">
        <v>91</v>
      </c>
      <c r="AY197" s="158" t="str">
        <f t="shared" ref="AY197:AY200" si="142">AX197&amp;AW197</f>
        <v>工业钦北区</v>
      </c>
      <c r="AZ197" s="158" t="str">
        <f t="shared" ref="AZ197:AZ200" si="143">AX197</f>
        <v>工业</v>
      </c>
    </row>
    <row r="198" ht="66" customHeight="1" spans="1:52">
      <c r="A198" s="23">
        <f>SUBTOTAL(3,C$8:C198)</f>
        <v>155</v>
      </c>
      <c r="B198" s="890" t="s">
        <v>889</v>
      </c>
      <c r="C198" s="905" t="s">
        <v>810</v>
      </c>
      <c r="D198" s="88" t="s">
        <v>890</v>
      </c>
      <c r="E198" s="23" t="s">
        <v>812</v>
      </c>
      <c r="F198" s="891">
        <v>11000</v>
      </c>
      <c r="G198" s="36">
        <v>6600</v>
      </c>
      <c r="H198" s="81" t="s">
        <v>283</v>
      </c>
      <c r="I198" s="578">
        <v>1000</v>
      </c>
      <c r="J198" s="578">
        <v>1000</v>
      </c>
      <c r="K198" s="578">
        <v>2000</v>
      </c>
      <c r="L198" s="36">
        <v>4400</v>
      </c>
      <c r="M198" s="36">
        <v>5000</v>
      </c>
      <c r="N198" s="112" t="s">
        <v>432</v>
      </c>
      <c r="O198" s="133"/>
      <c r="P198" s="134"/>
      <c r="Q198" s="37"/>
      <c r="R198" s="37"/>
      <c r="S198" s="37"/>
      <c r="T198" s="37"/>
      <c r="U198" s="37"/>
      <c r="V198" s="37"/>
      <c r="W198" s="37"/>
      <c r="X198" s="585"/>
      <c r="Y198" s="585"/>
      <c r="Z198" s="932">
        <v>40</v>
      </c>
      <c r="AA198" s="932">
        <v>40</v>
      </c>
      <c r="AB198" s="770"/>
      <c r="AC198" s="770"/>
      <c r="AD198" s="770"/>
      <c r="AE198" s="770"/>
      <c r="AF198" s="770"/>
      <c r="AG198" s="770"/>
      <c r="AH198" s="770"/>
      <c r="AI198" s="770"/>
      <c r="AJ198" s="770"/>
      <c r="AK198" s="770"/>
      <c r="AL198" s="770"/>
      <c r="AM198" s="770"/>
      <c r="AN198" s="770"/>
      <c r="AO198" s="770"/>
      <c r="AP198" s="770"/>
      <c r="AQ198" s="585"/>
      <c r="AR198" s="112" t="s">
        <v>117</v>
      </c>
      <c r="AS198" s="34" t="s">
        <v>891</v>
      </c>
      <c r="AT198" s="34" t="s">
        <v>375</v>
      </c>
      <c r="AU198" s="91"/>
      <c r="AW198" s="158" t="s">
        <v>376</v>
      </c>
      <c r="AX198" s="158" t="s">
        <v>91</v>
      </c>
      <c r="AY198" s="158" t="str">
        <f t="shared" si="142"/>
        <v>工业钦北区</v>
      </c>
      <c r="AZ198" s="158" t="str">
        <f t="shared" si="143"/>
        <v>工业</v>
      </c>
    </row>
    <row r="199" ht="61.5" customHeight="1" spans="1:52">
      <c r="A199" s="23">
        <f>SUBTOTAL(3,C$8:C199)</f>
        <v>156</v>
      </c>
      <c r="B199" s="55" t="s">
        <v>892</v>
      </c>
      <c r="C199" s="35" t="s">
        <v>810</v>
      </c>
      <c r="D199" s="34" t="s">
        <v>893</v>
      </c>
      <c r="E199" s="35" t="s">
        <v>812</v>
      </c>
      <c r="F199" s="36">
        <v>7000</v>
      </c>
      <c r="G199" s="36">
        <v>4000</v>
      </c>
      <c r="H199" s="81" t="s">
        <v>209</v>
      </c>
      <c r="I199" s="37">
        <v>500</v>
      </c>
      <c r="J199" s="37">
        <v>1200</v>
      </c>
      <c r="K199" s="37">
        <v>1800</v>
      </c>
      <c r="L199" s="36">
        <v>3000</v>
      </c>
      <c r="M199" s="36">
        <v>600</v>
      </c>
      <c r="N199" s="112" t="s">
        <v>432</v>
      </c>
      <c r="O199" s="133"/>
      <c r="P199" s="134"/>
      <c r="Q199" s="37"/>
      <c r="R199" s="37"/>
      <c r="S199" s="37"/>
      <c r="T199" s="37"/>
      <c r="U199" s="37"/>
      <c r="V199" s="37"/>
      <c r="W199" s="37"/>
      <c r="X199" s="585"/>
      <c r="Y199" s="585"/>
      <c r="Z199" s="99">
        <v>13</v>
      </c>
      <c r="AA199" s="99">
        <v>13</v>
      </c>
      <c r="AB199" s="99"/>
      <c r="AC199" s="770"/>
      <c r="AD199" s="770"/>
      <c r="AE199" s="770"/>
      <c r="AF199" s="770"/>
      <c r="AG199" s="770"/>
      <c r="AH199" s="770"/>
      <c r="AI199" s="770"/>
      <c r="AJ199" s="770"/>
      <c r="AK199" s="770"/>
      <c r="AL199" s="770"/>
      <c r="AM199" s="770"/>
      <c r="AN199" s="770"/>
      <c r="AO199" s="770"/>
      <c r="AP199" s="770"/>
      <c r="AQ199" s="585"/>
      <c r="AR199" s="112" t="s">
        <v>117</v>
      </c>
      <c r="AS199" s="34" t="s">
        <v>894</v>
      </c>
      <c r="AT199" s="34" t="s">
        <v>375</v>
      </c>
      <c r="AU199" s="91"/>
      <c r="AW199" s="158" t="s">
        <v>376</v>
      </c>
      <c r="AX199" s="158" t="s">
        <v>91</v>
      </c>
      <c r="AY199" s="158" t="str">
        <f t="shared" si="142"/>
        <v>工业钦北区</v>
      </c>
      <c r="AZ199" s="158" t="str">
        <f t="shared" si="143"/>
        <v>工业</v>
      </c>
    </row>
    <row r="200" ht="66" customHeight="1" spans="1:52">
      <c r="A200" s="23">
        <f>SUBTOTAL(3,C$8:C200)</f>
        <v>157</v>
      </c>
      <c r="B200" s="55" t="s">
        <v>895</v>
      </c>
      <c r="C200" s="23" t="s">
        <v>810</v>
      </c>
      <c r="D200" s="55" t="s">
        <v>896</v>
      </c>
      <c r="E200" s="35">
        <v>2019</v>
      </c>
      <c r="F200" s="36">
        <v>5028</v>
      </c>
      <c r="G200" s="36"/>
      <c r="H200" s="81" t="s">
        <v>113</v>
      </c>
      <c r="I200" s="578">
        <v>1500</v>
      </c>
      <c r="J200" s="578">
        <v>3500</v>
      </c>
      <c r="K200" s="578">
        <v>4500</v>
      </c>
      <c r="L200" s="36">
        <v>5028</v>
      </c>
      <c r="M200" s="36">
        <v>600</v>
      </c>
      <c r="N200" s="112" t="s">
        <v>432</v>
      </c>
      <c r="O200" s="133"/>
      <c r="P200" s="134"/>
      <c r="Q200" s="37"/>
      <c r="R200" s="37"/>
      <c r="S200" s="37"/>
      <c r="T200" s="37"/>
      <c r="U200" s="37"/>
      <c r="V200" s="37"/>
      <c r="W200" s="37"/>
      <c r="X200" s="585"/>
      <c r="Y200" s="585"/>
      <c r="Z200" s="99">
        <v>35</v>
      </c>
      <c r="AA200" s="99">
        <v>35</v>
      </c>
      <c r="AB200" s="99"/>
      <c r="AC200" s="770"/>
      <c r="AD200" s="770"/>
      <c r="AE200" s="770"/>
      <c r="AF200" s="770"/>
      <c r="AG200" s="770"/>
      <c r="AH200" s="770"/>
      <c r="AI200" s="770"/>
      <c r="AJ200" s="770"/>
      <c r="AK200" s="770"/>
      <c r="AL200" s="770"/>
      <c r="AM200" s="770"/>
      <c r="AN200" s="770"/>
      <c r="AO200" s="770"/>
      <c r="AP200" s="770"/>
      <c r="AQ200" s="585"/>
      <c r="AR200" s="112" t="s">
        <v>117</v>
      </c>
      <c r="AS200" s="34" t="s">
        <v>897</v>
      </c>
      <c r="AT200" s="34" t="s">
        <v>375</v>
      </c>
      <c r="AU200" s="91"/>
      <c r="AW200" s="158" t="s">
        <v>376</v>
      </c>
      <c r="AX200" s="158" t="s">
        <v>91</v>
      </c>
      <c r="AY200" s="158" t="str">
        <f t="shared" si="142"/>
        <v>工业钦北区</v>
      </c>
      <c r="AZ200" s="158" t="str">
        <f t="shared" si="143"/>
        <v>工业</v>
      </c>
    </row>
    <row r="201" ht="30" customHeight="1" spans="1:47">
      <c r="A201" s="551" t="s">
        <v>412</v>
      </c>
      <c r="B201" s="755" t="str">
        <f>"能源（"&amp;SUBTOTAL(3,C202:C206)&amp;"个）"</f>
        <v>能源（5个）</v>
      </c>
      <c r="C201" s="755"/>
      <c r="D201" s="755"/>
      <c r="E201" s="551"/>
      <c r="F201" s="134">
        <f t="shared" ref="F201:M201" si="144">SUBTOTAL(9,F202:F206)</f>
        <v>338530</v>
      </c>
      <c r="G201" s="134">
        <f t="shared" si="144"/>
        <v>229410</v>
      </c>
      <c r="H201" s="134"/>
      <c r="I201" s="134">
        <f t="shared" si="144"/>
        <v>21293</v>
      </c>
      <c r="J201" s="134">
        <f t="shared" si="144"/>
        <v>67793</v>
      </c>
      <c r="K201" s="134">
        <f t="shared" si="144"/>
        <v>91993</v>
      </c>
      <c r="L201" s="134">
        <f t="shared" si="144"/>
        <v>109120</v>
      </c>
      <c r="M201" s="134">
        <f t="shared" si="144"/>
        <v>66800</v>
      </c>
      <c r="N201" s="134"/>
      <c r="O201" s="134">
        <f t="shared" ref="O201:AP201" si="145">SUBTOTAL(9,O202:O206)</f>
        <v>0</v>
      </c>
      <c r="P201" s="134">
        <f t="shared" si="145"/>
        <v>0</v>
      </c>
      <c r="Q201" s="134">
        <f t="shared" si="145"/>
        <v>0</v>
      </c>
      <c r="R201" s="134">
        <f t="shared" si="145"/>
        <v>0</v>
      </c>
      <c r="S201" s="134">
        <f t="shared" si="145"/>
        <v>0</v>
      </c>
      <c r="T201" s="134">
        <f t="shared" si="145"/>
        <v>0</v>
      </c>
      <c r="U201" s="134">
        <f t="shared" si="145"/>
        <v>0</v>
      </c>
      <c r="V201" s="134">
        <f t="shared" si="145"/>
        <v>0</v>
      </c>
      <c r="W201" s="134">
        <f t="shared" si="145"/>
        <v>0</v>
      </c>
      <c r="X201" s="134">
        <f t="shared" si="145"/>
        <v>0</v>
      </c>
      <c r="Y201" s="134">
        <f t="shared" si="145"/>
        <v>0</v>
      </c>
      <c r="Z201" s="134">
        <f t="shared" si="145"/>
        <v>202</v>
      </c>
      <c r="AA201" s="134">
        <f t="shared" si="145"/>
        <v>202</v>
      </c>
      <c r="AB201" s="134">
        <f t="shared" si="145"/>
        <v>0</v>
      </c>
      <c r="AC201" s="134">
        <f t="shared" si="145"/>
        <v>0</v>
      </c>
      <c r="AD201" s="134">
        <f t="shared" si="145"/>
        <v>0</v>
      </c>
      <c r="AE201" s="134">
        <f t="shared" si="145"/>
        <v>0</v>
      </c>
      <c r="AF201" s="134">
        <f t="shared" si="145"/>
        <v>0</v>
      </c>
      <c r="AG201" s="134">
        <f t="shared" si="145"/>
        <v>0</v>
      </c>
      <c r="AH201" s="134">
        <f t="shared" si="145"/>
        <v>0</v>
      </c>
      <c r="AI201" s="134">
        <f t="shared" si="145"/>
        <v>0</v>
      </c>
      <c r="AJ201" s="134">
        <f t="shared" si="145"/>
        <v>0</v>
      </c>
      <c r="AK201" s="134">
        <f t="shared" si="145"/>
        <v>0</v>
      </c>
      <c r="AL201" s="134">
        <f t="shared" si="145"/>
        <v>0</v>
      </c>
      <c r="AM201" s="134">
        <f t="shared" si="145"/>
        <v>0</v>
      </c>
      <c r="AN201" s="134">
        <f t="shared" si="145"/>
        <v>0</v>
      </c>
      <c r="AO201" s="134">
        <f t="shared" si="145"/>
        <v>0</v>
      </c>
      <c r="AP201" s="134">
        <f t="shared" si="145"/>
        <v>0</v>
      </c>
      <c r="AQ201" s="585"/>
      <c r="AR201" s="112"/>
      <c r="AS201" s="591"/>
      <c r="AT201" s="591"/>
      <c r="AU201" s="91"/>
    </row>
    <row r="202" ht="75.75" customHeight="1" spans="1:52">
      <c r="A202" s="23">
        <f>SUBTOTAL(3,C$8:C202)</f>
        <v>158</v>
      </c>
      <c r="B202" s="60" t="s">
        <v>898</v>
      </c>
      <c r="C202" s="23" t="s">
        <v>810</v>
      </c>
      <c r="D202" s="66" t="s">
        <v>899</v>
      </c>
      <c r="E202" s="23" t="s">
        <v>827</v>
      </c>
      <c r="F202" s="67">
        <v>78700</v>
      </c>
      <c r="G202" s="36">
        <v>65000</v>
      </c>
      <c r="H202" s="81" t="s">
        <v>113</v>
      </c>
      <c r="I202" s="37">
        <v>1000</v>
      </c>
      <c r="J202" s="37">
        <v>5200</v>
      </c>
      <c r="K202" s="37">
        <v>9400</v>
      </c>
      <c r="L202" s="36">
        <v>13700</v>
      </c>
      <c r="M202" s="36">
        <v>3800</v>
      </c>
      <c r="N202" s="112" t="s">
        <v>432</v>
      </c>
      <c r="O202" s="133"/>
      <c r="P202" s="134"/>
      <c r="Q202" s="37"/>
      <c r="R202" s="37"/>
      <c r="S202" s="37"/>
      <c r="T202" s="37"/>
      <c r="U202" s="37"/>
      <c r="V202" s="37"/>
      <c r="W202" s="37"/>
      <c r="X202" s="585"/>
      <c r="Y202" s="585"/>
      <c r="Z202" s="770"/>
      <c r="AA202" s="770"/>
      <c r="AB202" s="770"/>
      <c r="AC202" s="770"/>
      <c r="AD202" s="770"/>
      <c r="AE202" s="770"/>
      <c r="AF202" s="770"/>
      <c r="AG202" s="770"/>
      <c r="AH202" s="770"/>
      <c r="AI202" s="770"/>
      <c r="AJ202" s="770"/>
      <c r="AK202" s="770"/>
      <c r="AL202" s="770"/>
      <c r="AM202" s="770"/>
      <c r="AN202" s="770"/>
      <c r="AO202" s="770"/>
      <c r="AP202" s="770"/>
      <c r="AQ202" s="585"/>
      <c r="AR202" s="112" t="s">
        <v>900</v>
      </c>
      <c r="AS202" s="34" t="s">
        <v>901</v>
      </c>
      <c r="AT202" s="34" t="s">
        <v>185</v>
      </c>
      <c r="AU202" s="91"/>
      <c r="AW202" s="158" t="s">
        <v>186</v>
      </c>
      <c r="AX202" s="158" t="s">
        <v>420</v>
      </c>
      <c r="AY202" s="158" t="str">
        <f t="shared" ref="AY202:AY206" si="146">AX202&amp;AW202</f>
        <v>能源中马园</v>
      </c>
      <c r="AZ202" s="158" t="s">
        <v>91</v>
      </c>
    </row>
    <row r="203" ht="66.75" customHeight="1" spans="1:52">
      <c r="A203" s="23">
        <f>SUBTOTAL(3,C$8:C203)</f>
        <v>159</v>
      </c>
      <c r="B203" s="55" t="s">
        <v>902</v>
      </c>
      <c r="C203" s="35" t="s">
        <v>810</v>
      </c>
      <c r="D203" s="34" t="s">
        <v>903</v>
      </c>
      <c r="E203" s="35" t="s">
        <v>827</v>
      </c>
      <c r="F203" s="36">
        <v>88000</v>
      </c>
      <c r="G203" s="36">
        <v>53407</v>
      </c>
      <c r="H203" s="81" t="s">
        <v>122</v>
      </c>
      <c r="I203" s="37">
        <v>14593</v>
      </c>
      <c r="J203" s="37">
        <v>34593</v>
      </c>
      <c r="K203" s="37">
        <v>34593</v>
      </c>
      <c r="L203" s="37">
        <v>34593</v>
      </c>
      <c r="M203" s="36">
        <v>7000</v>
      </c>
      <c r="N203" s="112" t="s">
        <v>432</v>
      </c>
      <c r="O203" s="133"/>
      <c r="P203" s="134"/>
      <c r="Q203" s="37"/>
      <c r="R203" s="37"/>
      <c r="S203" s="37"/>
      <c r="T203" s="37"/>
      <c r="U203" s="37"/>
      <c r="V203" s="37"/>
      <c r="W203" s="37"/>
      <c r="X203" s="585"/>
      <c r="Y203" s="585"/>
      <c r="Z203" s="770"/>
      <c r="AA203" s="770"/>
      <c r="AB203" s="770"/>
      <c r="AC203" s="770"/>
      <c r="AD203" s="770"/>
      <c r="AE203" s="770"/>
      <c r="AF203" s="770"/>
      <c r="AG203" s="770"/>
      <c r="AH203" s="770"/>
      <c r="AI203" s="770"/>
      <c r="AJ203" s="770"/>
      <c r="AK203" s="770"/>
      <c r="AL203" s="770"/>
      <c r="AM203" s="770"/>
      <c r="AN203" s="770"/>
      <c r="AO203" s="770"/>
      <c r="AP203" s="770"/>
      <c r="AQ203" s="585"/>
      <c r="AR203" s="112" t="s">
        <v>117</v>
      </c>
      <c r="AS203" s="34" t="s">
        <v>904</v>
      </c>
      <c r="AT203" s="34" t="s">
        <v>269</v>
      </c>
      <c r="AU203" s="35" t="s">
        <v>905</v>
      </c>
      <c r="AW203" s="158" t="s">
        <v>270</v>
      </c>
      <c r="AX203" s="158" t="s">
        <v>420</v>
      </c>
      <c r="AY203" s="158" t="str">
        <f t="shared" si="146"/>
        <v>能源灵山县</v>
      </c>
      <c r="AZ203" s="158" t="s">
        <v>91</v>
      </c>
    </row>
    <row r="204" ht="63.75" customHeight="1" spans="1:52">
      <c r="A204" s="23">
        <f>SUBTOTAL(3,C$11:C204)</f>
        <v>160</v>
      </c>
      <c r="B204" s="55" t="s">
        <v>906</v>
      </c>
      <c r="C204" s="35" t="s">
        <v>810</v>
      </c>
      <c r="D204" s="34" t="s">
        <v>414</v>
      </c>
      <c r="E204" s="35" t="s">
        <v>812</v>
      </c>
      <c r="F204" s="36">
        <v>87830</v>
      </c>
      <c r="G204" s="36">
        <v>43003</v>
      </c>
      <c r="H204" s="81" t="s">
        <v>131</v>
      </c>
      <c r="I204" s="37">
        <v>2000</v>
      </c>
      <c r="J204" s="37">
        <v>20000</v>
      </c>
      <c r="K204" s="37">
        <v>35000</v>
      </c>
      <c r="L204" s="36">
        <v>44827</v>
      </c>
      <c r="M204" s="36">
        <v>40000</v>
      </c>
      <c r="N204" s="112" t="s">
        <v>432</v>
      </c>
      <c r="O204" s="133"/>
      <c r="P204" s="134"/>
      <c r="Q204" s="37"/>
      <c r="R204" s="37"/>
      <c r="S204" s="37"/>
      <c r="T204" s="37"/>
      <c r="U204" s="37"/>
      <c r="V204" s="37"/>
      <c r="W204" s="37"/>
      <c r="X204" s="585"/>
      <c r="Y204" s="585"/>
      <c r="Z204" s="770"/>
      <c r="AA204" s="770"/>
      <c r="AB204" s="770"/>
      <c r="AC204" s="770"/>
      <c r="AD204" s="770"/>
      <c r="AE204" s="770"/>
      <c r="AF204" s="770"/>
      <c r="AG204" s="770"/>
      <c r="AH204" s="770"/>
      <c r="AI204" s="770"/>
      <c r="AJ204" s="770"/>
      <c r="AK204" s="770"/>
      <c r="AL204" s="770"/>
      <c r="AM204" s="770"/>
      <c r="AN204" s="770"/>
      <c r="AO204" s="770"/>
      <c r="AP204" s="770"/>
      <c r="AQ204" s="585"/>
      <c r="AR204" s="112" t="s">
        <v>907</v>
      </c>
      <c r="AS204" s="34" t="s">
        <v>419</v>
      </c>
      <c r="AT204" s="34" t="s">
        <v>269</v>
      </c>
      <c r="AU204" s="35" t="s">
        <v>908</v>
      </c>
      <c r="AW204" s="158" t="s">
        <v>270</v>
      </c>
      <c r="AX204" s="158" t="s">
        <v>420</v>
      </c>
      <c r="AY204" s="158" t="str">
        <f t="shared" si="146"/>
        <v>能源灵山县</v>
      </c>
      <c r="AZ204" s="158" t="s">
        <v>91</v>
      </c>
    </row>
    <row r="205" ht="69.75" customHeight="1" spans="1:52">
      <c r="A205" s="23">
        <f>SUBTOTAL(3,C$8:C205)</f>
        <v>161</v>
      </c>
      <c r="B205" s="58" t="s">
        <v>909</v>
      </c>
      <c r="C205" s="87" t="s">
        <v>810</v>
      </c>
      <c r="D205" s="88" t="s">
        <v>910</v>
      </c>
      <c r="E205" s="23" t="s">
        <v>827</v>
      </c>
      <c r="F205" s="67">
        <v>44000</v>
      </c>
      <c r="G205" s="67">
        <v>43000</v>
      </c>
      <c r="H205" s="67" t="s">
        <v>144</v>
      </c>
      <c r="I205" s="67">
        <v>700</v>
      </c>
      <c r="J205" s="67">
        <v>1000</v>
      </c>
      <c r="K205" s="67">
        <v>1000</v>
      </c>
      <c r="L205" s="67">
        <v>1000</v>
      </c>
      <c r="M205" s="36">
        <v>4000</v>
      </c>
      <c r="N205" s="112" t="s">
        <v>432</v>
      </c>
      <c r="O205" s="133"/>
      <c r="P205" s="134"/>
      <c r="Q205" s="37"/>
      <c r="R205" s="37"/>
      <c r="S205" s="37"/>
      <c r="T205" s="37"/>
      <c r="U205" s="37"/>
      <c r="V205" s="37"/>
      <c r="W205" s="37"/>
      <c r="X205" s="585"/>
      <c r="Y205" s="585"/>
      <c r="Z205" s="770"/>
      <c r="AA205" s="770"/>
      <c r="AB205" s="770"/>
      <c r="AC205" s="770"/>
      <c r="AD205" s="770"/>
      <c r="AE205" s="770"/>
      <c r="AF205" s="770"/>
      <c r="AG205" s="770"/>
      <c r="AH205" s="770"/>
      <c r="AI205" s="770"/>
      <c r="AJ205" s="770"/>
      <c r="AK205" s="770"/>
      <c r="AL205" s="770"/>
      <c r="AM205" s="770"/>
      <c r="AN205" s="770"/>
      <c r="AO205" s="770"/>
      <c r="AP205" s="770"/>
      <c r="AQ205" s="585"/>
      <c r="AR205" s="125" t="s">
        <v>911</v>
      </c>
      <c r="AS205" s="123" t="s">
        <v>912</v>
      </c>
      <c r="AT205" s="123" t="s">
        <v>359</v>
      </c>
      <c r="AU205" s="91"/>
      <c r="AW205" s="158" t="s">
        <v>360</v>
      </c>
      <c r="AX205" s="158" t="s">
        <v>420</v>
      </c>
      <c r="AY205" s="158" t="str">
        <f t="shared" si="146"/>
        <v>能源钦南区</v>
      </c>
      <c r="AZ205" s="158" t="s">
        <v>91</v>
      </c>
    </row>
    <row r="206" ht="62.25" customHeight="1" spans="1:52">
      <c r="A206" s="23">
        <f>SUBTOTAL(3,C$8:C206)</f>
        <v>162</v>
      </c>
      <c r="B206" s="55" t="s">
        <v>913</v>
      </c>
      <c r="C206" s="35" t="s">
        <v>810</v>
      </c>
      <c r="D206" s="34" t="s">
        <v>914</v>
      </c>
      <c r="E206" s="35" t="s">
        <v>832</v>
      </c>
      <c r="F206" s="36">
        <v>40000</v>
      </c>
      <c r="G206" s="36">
        <v>25000</v>
      </c>
      <c r="H206" s="83" t="s">
        <v>209</v>
      </c>
      <c r="I206" s="578">
        <v>3000</v>
      </c>
      <c r="J206" s="578">
        <v>7000</v>
      </c>
      <c r="K206" s="578">
        <v>12000</v>
      </c>
      <c r="L206" s="36">
        <v>15000</v>
      </c>
      <c r="M206" s="36">
        <v>12000</v>
      </c>
      <c r="N206" s="112" t="s">
        <v>432</v>
      </c>
      <c r="O206" s="133"/>
      <c r="P206" s="134"/>
      <c r="Q206" s="37"/>
      <c r="R206" s="37"/>
      <c r="S206" s="37"/>
      <c r="T206" s="37"/>
      <c r="U206" s="37"/>
      <c r="V206" s="37"/>
      <c r="W206" s="37"/>
      <c r="X206" s="585"/>
      <c r="Y206" s="585"/>
      <c r="Z206" s="99">
        <v>202</v>
      </c>
      <c r="AA206" s="99">
        <v>202</v>
      </c>
      <c r="AB206" s="36"/>
      <c r="AC206" s="770"/>
      <c r="AD206" s="770"/>
      <c r="AE206" s="770"/>
      <c r="AF206" s="770"/>
      <c r="AG206" s="770"/>
      <c r="AH206" s="770"/>
      <c r="AI206" s="770"/>
      <c r="AJ206" s="770"/>
      <c r="AK206" s="770"/>
      <c r="AL206" s="770"/>
      <c r="AM206" s="770"/>
      <c r="AN206" s="770"/>
      <c r="AO206" s="770"/>
      <c r="AP206" s="770"/>
      <c r="AQ206" s="585"/>
      <c r="AR206" s="112" t="s">
        <v>117</v>
      </c>
      <c r="AS206" s="34" t="s">
        <v>915</v>
      </c>
      <c r="AT206" s="34" t="s">
        <v>375</v>
      </c>
      <c r="AU206" s="91"/>
      <c r="AW206" s="158" t="s">
        <v>376</v>
      </c>
      <c r="AX206" s="158" t="s">
        <v>420</v>
      </c>
      <c r="AY206" s="158" t="str">
        <f t="shared" si="146"/>
        <v>能源钦北区</v>
      </c>
      <c r="AZ206" s="158" t="s">
        <v>91</v>
      </c>
    </row>
    <row r="207" ht="30" customHeight="1" spans="1:47">
      <c r="A207" s="551" t="s">
        <v>448</v>
      </c>
      <c r="B207" s="557" t="str">
        <f>"服务业（"&amp;SUBTOTAL(3,C209:C217)&amp;"个）"</f>
        <v>服务业（7个）</v>
      </c>
      <c r="C207" s="557"/>
      <c r="D207" s="557"/>
      <c r="E207" s="551"/>
      <c r="F207" s="134">
        <f t="shared" ref="F207:M207" si="147">F211+F216+F208</f>
        <v>70194</v>
      </c>
      <c r="G207" s="134">
        <f t="shared" si="147"/>
        <v>23973</v>
      </c>
      <c r="H207" s="134"/>
      <c r="I207" s="134">
        <f t="shared" si="147"/>
        <v>15670</v>
      </c>
      <c r="J207" s="134">
        <f t="shared" si="147"/>
        <v>27470</v>
      </c>
      <c r="K207" s="134">
        <f t="shared" si="147"/>
        <v>38270</v>
      </c>
      <c r="L207" s="134">
        <f t="shared" si="147"/>
        <v>46221</v>
      </c>
      <c r="M207" s="134">
        <f t="shared" si="147"/>
        <v>3900</v>
      </c>
      <c r="N207" s="134"/>
      <c r="O207" s="133"/>
      <c r="P207" s="134"/>
      <c r="Q207" s="37"/>
      <c r="R207" s="37"/>
      <c r="S207" s="37"/>
      <c r="T207" s="37"/>
      <c r="U207" s="37"/>
      <c r="V207" s="37"/>
      <c r="W207" s="37"/>
      <c r="X207" s="585"/>
      <c r="Y207" s="585"/>
      <c r="Z207" s="134">
        <f t="shared" ref="Z207:AP207" si="148">Z211+Z216+Z208</f>
        <v>10</v>
      </c>
      <c r="AA207" s="134">
        <f t="shared" si="148"/>
        <v>10</v>
      </c>
      <c r="AB207" s="134">
        <f t="shared" si="148"/>
        <v>0</v>
      </c>
      <c r="AC207" s="134">
        <f t="shared" si="148"/>
        <v>0</v>
      </c>
      <c r="AD207" s="134">
        <f t="shared" si="148"/>
        <v>0</v>
      </c>
      <c r="AE207" s="134">
        <f t="shared" si="148"/>
        <v>0</v>
      </c>
      <c r="AF207" s="134">
        <f t="shared" si="148"/>
        <v>0</v>
      </c>
      <c r="AG207" s="134">
        <f t="shared" si="148"/>
        <v>0</v>
      </c>
      <c r="AH207" s="134">
        <f t="shared" si="148"/>
        <v>0</v>
      </c>
      <c r="AI207" s="134">
        <f t="shared" si="148"/>
        <v>0</v>
      </c>
      <c r="AJ207" s="134">
        <f t="shared" si="148"/>
        <v>0</v>
      </c>
      <c r="AK207" s="134">
        <f t="shared" si="148"/>
        <v>0</v>
      </c>
      <c r="AL207" s="134">
        <f t="shared" si="148"/>
        <v>0</v>
      </c>
      <c r="AM207" s="134">
        <f t="shared" si="148"/>
        <v>0</v>
      </c>
      <c r="AN207" s="134">
        <f t="shared" si="148"/>
        <v>400</v>
      </c>
      <c r="AO207" s="134">
        <f t="shared" si="148"/>
        <v>4000</v>
      </c>
      <c r="AP207" s="134">
        <f t="shared" si="148"/>
        <v>2001</v>
      </c>
      <c r="AQ207" s="585"/>
      <c r="AR207" s="112"/>
      <c r="AS207" s="591"/>
      <c r="AT207" s="591"/>
      <c r="AU207" s="91"/>
    </row>
    <row r="208" ht="15.95" hidden="1" customHeight="1" spans="1:47">
      <c r="A208" s="551"/>
      <c r="B208" s="908" t="str">
        <f>"信息服务（"&amp;SUBTOTAL(3,C209:C210)&amp;"个）"</f>
        <v>信息服务（2个）</v>
      </c>
      <c r="C208" s="909"/>
      <c r="D208" s="910"/>
      <c r="E208" s="551"/>
      <c r="F208" s="134">
        <f>SUBTOTAL(9,F209:F210)</f>
        <v>23724</v>
      </c>
      <c r="G208" s="134">
        <f t="shared" ref="G208:AP208" si="149">SUBTOTAL(9,G209:G210)</f>
        <v>11323</v>
      </c>
      <c r="H208" s="134"/>
      <c r="I208" s="134">
        <f t="shared" si="149"/>
        <v>3020</v>
      </c>
      <c r="J208" s="134">
        <f t="shared" si="149"/>
        <v>6600</v>
      </c>
      <c r="K208" s="134">
        <f t="shared" si="149"/>
        <v>9700</v>
      </c>
      <c r="L208" s="134">
        <f t="shared" si="149"/>
        <v>12401</v>
      </c>
      <c r="M208" s="134">
        <f t="shared" si="149"/>
        <v>0</v>
      </c>
      <c r="N208" s="134"/>
      <c r="O208" s="134">
        <f t="shared" si="149"/>
        <v>0</v>
      </c>
      <c r="P208" s="134">
        <f t="shared" si="149"/>
        <v>0</v>
      </c>
      <c r="Q208" s="134">
        <f t="shared" si="149"/>
        <v>0</v>
      </c>
      <c r="R208" s="134">
        <f t="shared" si="149"/>
        <v>0</v>
      </c>
      <c r="S208" s="134">
        <f t="shared" si="149"/>
        <v>0</v>
      </c>
      <c r="T208" s="134">
        <f t="shared" si="149"/>
        <v>0</v>
      </c>
      <c r="U208" s="134">
        <f t="shared" si="149"/>
        <v>0</v>
      </c>
      <c r="V208" s="134">
        <f t="shared" si="149"/>
        <v>0</v>
      </c>
      <c r="W208" s="134">
        <f t="shared" si="149"/>
        <v>0</v>
      </c>
      <c r="X208" s="134">
        <f t="shared" si="149"/>
        <v>0</v>
      </c>
      <c r="Y208" s="134">
        <f t="shared" si="149"/>
        <v>0</v>
      </c>
      <c r="Z208" s="134">
        <f t="shared" si="149"/>
        <v>10</v>
      </c>
      <c r="AA208" s="134">
        <f t="shared" si="149"/>
        <v>10</v>
      </c>
      <c r="AB208" s="134">
        <f t="shared" si="149"/>
        <v>0</v>
      </c>
      <c r="AC208" s="134">
        <f t="shared" si="149"/>
        <v>0</v>
      </c>
      <c r="AD208" s="134">
        <f t="shared" si="149"/>
        <v>0</v>
      </c>
      <c r="AE208" s="134">
        <f t="shared" si="149"/>
        <v>0</v>
      </c>
      <c r="AF208" s="134">
        <f t="shared" si="149"/>
        <v>0</v>
      </c>
      <c r="AG208" s="134">
        <f t="shared" si="149"/>
        <v>0</v>
      </c>
      <c r="AH208" s="134">
        <f t="shared" si="149"/>
        <v>0</v>
      </c>
      <c r="AI208" s="134">
        <f t="shared" si="149"/>
        <v>0</v>
      </c>
      <c r="AJ208" s="134">
        <f t="shared" si="149"/>
        <v>0</v>
      </c>
      <c r="AK208" s="134">
        <f t="shared" si="149"/>
        <v>0</v>
      </c>
      <c r="AL208" s="134">
        <f t="shared" si="149"/>
        <v>0</v>
      </c>
      <c r="AM208" s="134">
        <f t="shared" si="149"/>
        <v>0</v>
      </c>
      <c r="AN208" s="134">
        <f t="shared" si="149"/>
        <v>400</v>
      </c>
      <c r="AO208" s="134">
        <f t="shared" si="149"/>
        <v>0</v>
      </c>
      <c r="AP208" s="134">
        <f t="shared" si="149"/>
        <v>2001</v>
      </c>
      <c r="AQ208" s="585"/>
      <c r="AR208" s="112"/>
      <c r="AS208" s="591"/>
      <c r="AT208" s="134"/>
      <c r="AU208" s="91"/>
    </row>
    <row r="209" ht="69" customHeight="1" spans="1:52">
      <c r="A209" s="23">
        <f>SUBTOTAL(3,C$8:C209)</f>
        <v>163</v>
      </c>
      <c r="B209" s="55" t="s">
        <v>916</v>
      </c>
      <c r="C209" s="35" t="s">
        <v>810</v>
      </c>
      <c r="D209" s="34" t="s">
        <v>917</v>
      </c>
      <c r="E209" s="35" t="s">
        <v>812</v>
      </c>
      <c r="F209" s="35">
        <v>16000</v>
      </c>
      <c r="G209" s="127">
        <v>6000</v>
      </c>
      <c r="H209" s="81" t="s">
        <v>131</v>
      </c>
      <c r="I209" s="37">
        <v>2500</v>
      </c>
      <c r="J209" s="37">
        <v>5000</v>
      </c>
      <c r="K209" s="37">
        <v>7500</v>
      </c>
      <c r="L209" s="127">
        <v>10000</v>
      </c>
      <c r="M209" s="127"/>
      <c r="N209" s="112" t="s">
        <v>432</v>
      </c>
      <c r="O209" s="133"/>
      <c r="P209" s="134"/>
      <c r="Q209" s="37"/>
      <c r="R209" s="37"/>
      <c r="S209" s="37"/>
      <c r="T209" s="37"/>
      <c r="U209" s="37"/>
      <c r="V209" s="37"/>
      <c r="W209" s="37"/>
      <c r="X209" s="585"/>
      <c r="Y209" s="585"/>
      <c r="Z209" s="770"/>
      <c r="AA209" s="770"/>
      <c r="AB209" s="770"/>
      <c r="AC209" s="770"/>
      <c r="AD209" s="770"/>
      <c r="AE209" s="770"/>
      <c r="AF209" s="770"/>
      <c r="AG209" s="770"/>
      <c r="AH209" s="770"/>
      <c r="AI209" s="770"/>
      <c r="AJ209" s="770"/>
      <c r="AK209" s="770"/>
      <c r="AL209" s="770"/>
      <c r="AM209" s="770"/>
      <c r="AN209" s="770"/>
      <c r="AO209" s="770"/>
      <c r="AP209" s="770"/>
      <c r="AQ209" s="585"/>
      <c r="AR209" s="112" t="s">
        <v>117</v>
      </c>
      <c r="AS209" s="34" t="s">
        <v>918</v>
      </c>
      <c r="AT209" s="131" t="s">
        <v>919</v>
      </c>
      <c r="AU209" s="91"/>
      <c r="AW209" s="158" t="s">
        <v>920</v>
      </c>
      <c r="AX209" s="158" t="s">
        <v>459</v>
      </c>
      <c r="AY209" s="158" t="str">
        <f t="shared" ref="AY209:AY215" si="150">AX209&amp;AW209</f>
        <v>服务业市工信局</v>
      </c>
      <c r="AZ209" s="158" t="str">
        <f t="shared" ref="AZ209:AZ215" si="151">AX209</f>
        <v>服务业</v>
      </c>
    </row>
    <row r="210" ht="57.95" customHeight="1" spans="1:52">
      <c r="A210" s="23">
        <f>SUBTOTAL(3,C$8:C210)</f>
        <v>164</v>
      </c>
      <c r="B210" s="55" t="s">
        <v>921</v>
      </c>
      <c r="C210" s="35" t="s">
        <v>810</v>
      </c>
      <c r="D210" s="34" t="s">
        <v>922</v>
      </c>
      <c r="E210" s="35" t="s">
        <v>827</v>
      </c>
      <c r="F210" s="38">
        <v>7724</v>
      </c>
      <c r="G210" s="38">
        <v>5323</v>
      </c>
      <c r="H210" s="81" t="s">
        <v>131</v>
      </c>
      <c r="I210" s="37">
        <v>520</v>
      </c>
      <c r="J210" s="37">
        <v>1600</v>
      </c>
      <c r="K210" s="37">
        <v>2200</v>
      </c>
      <c r="L210" s="38">
        <v>2401</v>
      </c>
      <c r="M210" s="38"/>
      <c r="N210" s="112" t="s">
        <v>432</v>
      </c>
      <c r="O210" s="133"/>
      <c r="P210" s="134"/>
      <c r="Q210" s="37"/>
      <c r="R210" s="37"/>
      <c r="S210" s="37"/>
      <c r="T210" s="37"/>
      <c r="U210" s="37"/>
      <c r="V210" s="37"/>
      <c r="W210" s="37"/>
      <c r="X210" s="585"/>
      <c r="Y210" s="585"/>
      <c r="Z210" s="132">
        <v>10</v>
      </c>
      <c r="AA210" s="132">
        <v>10</v>
      </c>
      <c r="AB210" s="770"/>
      <c r="AC210" s="770"/>
      <c r="AD210" s="770"/>
      <c r="AE210" s="770"/>
      <c r="AF210" s="770"/>
      <c r="AG210" s="770"/>
      <c r="AH210" s="770"/>
      <c r="AI210" s="770"/>
      <c r="AJ210" s="770"/>
      <c r="AK210" s="132"/>
      <c r="AL210" s="132"/>
      <c r="AM210" s="132"/>
      <c r="AN210" s="132">
        <v>400</v>
      </c>
      <c r="AO210" s="132"/>
      <c r="AP210" s="132">
        <v>2001</v>
      </c>
      <c r="AQ210" s="585"/>
      <c r="AR210" s="112" t="s">
        <v>923</v>
      </c>
      <c r="AS210" s="34" t="s">
        <v>921</v>
      </c>
      <c r="AT210" s="34" t="s">
        <v>924</v>
      </c>
      <c r="AU210" s="91"/>
      <c r="AW210" s="158" t="s">
        <v>924</v>
      </c>
      <c r="AX210" s="158" t="s">
        <v>459</v>
      </c>
      <c r="AY210" s="158" t="str">
        <f t="shared" si="150"/>
        <v>服务业市科技局</v>
      </c>
      <c r="AZ210" s="158" t="str">
        <f t="shared" si="151"/>
        <v>服务业</v>
      </c>
    </row>
    <row r="211" ht="15.95" hidden="1" customHeight="1" spans="1:47">
      <c r="A211" s="551"/>
      <c r="B211" s="908" t="str">
        <f>"商贸流通（"&amp;SUBTOTAL(3,C212:C215)&amp;"个）"</f>
        <v>商贸流通（4个）</v>
      </c>
      <c r="C211" s="909"/>
      <c r="D211" s="910"/>
      <c r="E211" s="551"/>
      <c r="F211" s="134">
        <f t="shared" ref="F211:M211" si="152">SUBTOTAL(9,F212:F215)</f>
        <v>26470</v>
      </c>
      <c r="G211" s="134">
        <f t="shared" si="152"/>
        <v>9900</v>
      </c>
      <c r="H211" s="134"/>
      <c r="I211" s="134">
        <f t="shared" si="152"/>
        <v>8650</v>
      </c>
      <c r="J211" s="134">
        <f t="shared" si="152"/>
        <v>11870</v>
      </c>
      <c r="K211" s="134">
        <f t="shared" si="152"/>
        <v>14570</v>
      </c>
      <c r="L211" s="134">
        <f t="shared" si="152"/>
        <v>16570</v>
      </c>
      <c r="M211" s="134">
        <f t="shared" si="152"/>
        <v>3300</v>
      </c>
      <c r="N211" s="134"/>
      <c r="O211" s="133"/>
      <c r="P211" s="134"/>
      <c r="Q211" s="37"/>
      <c r="R211" s="37"/>
      <c r="S211" s="37"/>
      <c r="T211" s="37"/>
      <c r="U211" s="37"/>
      <c r="V211" s="37"/>
      <c r="W211" s="37"/>
      <c r="X211" s="585"/>
      <c r="Y211" s="585"/>
      <c r="Z211" s="134">
        <f t="shared" ref="Z211:AP211" si="153">SUBTOTAL(9,Z212:Z215)</f>
        <v>0</v>
      </c>
      <c r="AA211" s="134">
        <f t="shared" si="153"/>
        <v>0</v>
      </c>
      <c r="AB211" s="134">
        <f t="shared" si="153"/>
        <v>0</v>
      </c>
      <c r="AC211" s="134">
        <f t="shared" si="153"/>
        <v>0</v>
      </c>
      <c r="AD211" s="134">
        <f t="shared" si="153"/>
        <v>0</v>
      </c>
      <c r="AE211" s="134">
        <f t="shared" si="153"/>
        <v>0</v>
      </c>
      <c r="AF211" s="134">
        <f t="shared" si="153"/>
        <v>0</v>
      </c>
      <c r="AG211" s="134">
        <f t="shared" si="153"/>
        <v>0</v>
      </c>
      <c r="AH211" s="134">
        <f t="shared" si="153"/>
        <v>0</v>
      </c>
      <c r="AI211" s="134">
        <f t="shared" si="153"/>
        <v>0</v>
      </c>
      <c r="AJ211" s="134">
        <f t="shared" si="153"/>
        <v>0</v>
      </c>
      <c r="AK211" s="134">
        <f t="shared" si="153"/>
        <v>0</v>
      </c>
      <c r="AL211" s="134">
        <f t="shared" si="153"/>
        <v>0</v>
      </c>
      <c r="AM211" s="134">
        <f t="shared" si="153"/>
        <v>0</v>
      </c>
      <c r="AN211" s="134">
        <f t="shared" si="153"/>
        <v>0</v>
      </c>
      <c r="AO211" s="134">
        <f t="shared" si="153"/>
        <v>4000</v>
      </c>
      <c r="AP211" s="134">
        <f t="shared" si="153"/>
        <v>0</v>
      </c>
      <c r="AQ211" s="585"/>
      <c r="AR211" s="112"/>
      <c r="AS211" s="591"/>
      <c r="AT211" s="134"/>
      <c r="AU211" s="91"/>
    </row>
    <row r="212" ht="79.5" customHeight="1" spans="1:52">
      <c r="A212" s="23">
        <f>SUBTOTAL(3,C$7:C212)</f>
        <v>165</v>
      </c>
      <c r="B212" s="55" t="s">
        <v>925</v>
      </c>
      <c r="C212" s="59" t="s">
        <v>810</v>
      </c>
      <c r="D212" s="634" t="s">
        <v>926</v>
      </c>
      <c r="E212" s="35" t="s">
        <v>812</v>
      </c>
      <c r="F212" s="38">
        <v>9000</v>
      </c>
      <c r="G212" s="67">
        <v>2000</v>
      </c>
      <c r="H212" s="67" t="s">
        <v>82</v>
      </c>
      <c r="I212" s="37">
        <v>3000</v>
      </c>
      <c r="J212" s="37">
        <v>4500</v>
      </c>
      <c r="K212" s="37">
        <v>6000</v>
      </c>
      <c r="L212" s="67">
        <v>7000</v>
      </c>
      <c r="M212" s="67">
        <v>1000</v>
      </c>
      <c r="N212" s="123" t="s">
        <v>927</v>
      </c>
      <c r="O212" s="133"/>
      <c r="P212" s="134"/>
      <c r="Q212" s="37"/>
      <c r="R212" s="37"/>
      <c r="S212" s="37"/>
      <c r="T212" s="37"/>
      <c r="U212" s="37"/>
      <c r="V212" s="37"/>
      <c r="W212" s="37"/>
      <c r="X212" s="585"/>
      <c r="Y212" s="585"/>
      <c r="Z212" s="770"/>
      <c r="AA212" s="770"/>
      <c r="AB212" s="770"/>
      <c r="AC212" s="770"/>
      <c r="AD212" s="770"/>
      <c r="AE212" s="770"/>
      <c r="AF212" s="770"/>
      <c r="AG212" s="770"/>
      <c r="AH212" s="770"/>
      <c r="AI212" s="770"/>
      <c r="AJ212" s="770"/>
      <c r="AK212" s="770"/>
      <c r="AL212" s="770"/>
      <c r="AM212" s="770"/>
      <c r="AN212" s="770"/>
      <c r="AO212" s="770"/>
      <c r="AP212" s="770"/>
      <c r="AQ212" s="585"/>
      <c r="AR212" s="90" t="s">
        <v>117</v>
      </c>
      <c r="AS212" s="34" t="s">
        <v>928</v>
      </c>
      <c r="AT212" s="66" t="s">
        <v>166</v>
      </c>
      <c r="AU212" s="91"/>
      <c r="AW212" s="158" t="s">
        <v>167</v>
      </c>
      <c r="AX212" s="158" t="s">
        <v>459</v>
      </c>
      <c r="AY212" s="158" t="str">
        <f t="shared" si="150"/>
        <v>服务业保税港</v>
      </c>
      <c r="AZ212" s="158" t="str">
        <f t="shared" si="151"/>
        <v>服务业</v>
      </c>
    </row>
    <row r="213" ht="72" customHeight="1" spans="1:52">
      <c r="A213" s="23">
        <f>SUBTOTAL(3,C$10:C213)</f>
        <v>166</v>
      </c>
      <c r="B213" s="34" t="s">
        <v>929</v>
      </c>
      <c r="C213" s="59" t="s">
        <v>810</v>
      </c>
      <c r="D213" s="55" t="s">
        <v>930</v>
      </c>
      <c r="E213" s="35">
        <v>2019</v>
      </c>
      <c r="F213" s="38">
        <v>4000</v>
      </c>
      <c r="G213" s="134"/>
      <c r="H213" s="50" t="s">
        <v>82</v>
      </c>
      <c r="I213" s="67">
        <v>500</v>
      </c>
      <c r="J213" s="67">
        <v>2000</v>
      </c>
      <c r="K213" s="67">
        <v>3000</v>
      </c>
      <c r="L213" s="38">
        <v>4000</v>
      </c>
      <c r="M213" s="38">
        <v>1000</v>
      </c>
      <c r="N213" s="112" t="s">
        <v>432</v>
      </c>
      <c r="O213" s="837"/>
      <c r="P213" s="837"/>
      <c r="Q213" s="837"/>
      <c r="R213" s="837"/>
      <c r="S213" s="837"/>
      <c r="T213" s="837"/>
      <c r="U213" s="837"/>
      <c r="V213" s="837"/>
      <c r="W213" s="837"/>
      <c r="X213" s="837"/>
      <c r="Y213" s="837"/>
      <c r="Z213" s="155"/>
      <c r="AA213" s="155"/>
      <c r="AB213" s="155"/>
      <c r="AC213" s="155"/>
      <c r="AD213" s="155"/>
      <c r="AE213" s="155"/>
      <c r="AF213" s="155"/>
      <c r="AG213" s="155"/>
      <c r="AH213" s="155"/>
      <c r="AI213" s="155"/>
      <c r="AJ213" s="155"/>
      <c r="AK213" s="155"/>
      <c r="AL213" s="155"/>
      <c r="AM213" s="155"/>
      <c r="AN213" s="155"/>
      <c r="AO213" s="836">
        <v>4000</v>
      </c>
      <c r="AP213" s="155"/>
      <c r="AQ213" s="155"/>
      <c r="AR213" s="55" t="s">
        <v>931</v>
      </c>
      <c r="AS213" s="34" t="s">
        <v>932</v>
      </c>
      <c r="AT213" s="123" t="s">
        <v>166</v>
      </c>
      <c r="AU213" s="67"/>
      <c r="AW213" s="158" t="s">
        <v>167</v>
      </c>
      <c r="AX213" s="158" t="s">
        <v>459</v>
      </c>
      <c r="AY213" s="158" t="str">
        <f t="shared" si="150"/>
        <v>服务业保税港</v>
      </c>
      <c r="AZ213" s="158" t="str">
        <f t="shared" si="151"/>
        <v>服务业</v>
      </c>
    </row>
    <row r="214" ht="60" customHeight="1" spans="1:52">
      <c r="A214" s="23">
        <f>SUBTOTAL(3,C$8:C214)</f>
        <v>167</v>
      </c>
      <c r="B214" s="55" t="s">
        <v>933</v>
      </c>
      <c r="C214" s="35" t="s">
        <v>810</v>
      </c>
      <c r="D214" s="34" t="s">
        <v>934</v>
      </c>
      <c r="E214" s="35" t="s">
        <v>812</v>
      </c>
      <c r="F214" s="36">
        <v>5170</v>
      </c>
      <c r="G214" s="36">
        <v>4400</v>
      </c>
      <c r="H214" s="81" t="s">
        <v>82</v>
      </c>
      <c r="I214" s="37">
        <v>350</v>
      </c>
      <c r="J214" s="37">
        <v>570</v>
      </c>
      <c r="K214" s="37">
        <v>770</v>
      </c>
      <c r="L214" s="36">
        <v>770</v>
      </c>
      <c r="M214" s="36"/>
      <c r="N214" s="112" t="s">
        <v>432</v>
      </c>
      <c r="O214" s="133"/>
      <c r="P214" s="134"/>
      <c r="Q214" s="37"/>
      <c r="R214" s="37"/>
      <c r="S214" s="37"/>
      <c r="T214" s="37"/>
      <c r="U214" s="37"/>
      <c r="V214" s="37"/>
      <c r="W214" s="37"/>
      <c r="X214" s="585"/>
      <c r="Y214" s="585"/>
      <c r="Z214" s="770"/>
      <c r="AA214" s="770"/>
      <c r="AB214" s="770"/>
      <c r="AC214" s="770"/>
      <c r="AD214" s="770"/>
      <c r="AE214" s="770"/>
      <c r="AF214" s="770"/>
      <c r="AG214" s="770"/>
      <c r="AH214" s="770"/>
      <c r="AI214" s="770"/>
      <c r="AJ214" s="770"/>
      <c r="AK214" s="770"/>
      <c r="AL214" s="770"/>
      <c r="AM214" s="770"/>
      <c r="AN214" s="770"/>
      <c r="AO214" s="770"/>
      <c r="AP214" s="770"/>
      <c r="AQ214" s="585"/>
      <c r="AR214" s="112" t="s">
        <v>117</v>
      </c>
      <c r="AS214" s="595" t="s">
        <v>211</v>
      </c>
      <c r="AT214" s="123" t="s">
        <v>185</v>
      </c>
      <c r="AU214" s="91"/>
      <c r="AW214" s="158" t="s">
        <v>186</v>
      </c>
      <c r="AX214" s="158" t="s">
        <v>459</v>
      </c>
      <c r="AY214" s="158" t="str">
        <f t="shared" si="150"/>
        <v>服务业中马园</v>
      </c>
      <c r="AZ214" s="158" t="str">
        <f t="shared" si="151"/>
        <v>服务业</v>
      </c>
    </row>
    <row r="215" ht="80.1" customHeight="1" spans="1:52">
      <c r="A215" s="23">
        <f>SUBTOTAL(3,C$8:C215)</f>
        <v>168</v>
      </c>
      <c r="B215" s="55" t="s">
        <v>935</v>
      </c>
      <c r="C215" s="35" t="s">
        <v>810</v>
      </c>
      <c r="D215" s="34" t="s">
        <v>936</v>
      </c>
      <c r="E215" s="35" t="s">
        <v>812</v>
      </c>
      <c r="F215" s="36">
        <v>8300</v>
      </c>
      <c r="G215" s="36">
        <v>3500</v>
      </c>
      <c r="H215" s="81" t="s">
        <v>353</v>
      </c>
      <c r="I215" s="37">
        <v>4800</v>
      </c>
      <c r="J215" s="37">
        <v>4800</v>
      </c>
      <c r="K215" s="37">
        <v>4800</v>
      </c>
      <c r="L215" s="36">
        <v>4800</v>
      </c>
      <c r="M215" s="36">
        <v>1300</v>
      </c>
      <c r="N215" s="112" t="s">
        <v>432</v>
      </c>
      <c r="O215" s="133"/>
      <c r="P215" s="134"/>
      <c r="Q215" s="37"/>
      <c r="R215" s="37"/>
      <c r="S215" s="37"/>
      <c r="T215" s="37"/>
      <c r="U215" s="37"/>
      <c r="V215" s="37"/>
      <c r="W215" s="37"/>
      <c r="X215" s="585"/>
      <c r="Y215" s="585"/>
      <c r="Z215" s="770"/>
      <c r="AA215" s="770"/>
      <c r="AB215" s="770"/>
      <c r="AC215" s="770"/>
      <c r="AD215" s="770"/>
      <c r="AE215" s="770"/>
      <c r="AF215" s="770"/>
      <c r="AG215" s="770"/>
      <c r="AH215" s="770"/>
      <c r="AI215" s="770"/>
      <c r="AJ215" s="770"/>
      <c r="AK215" s="770"/>
      <c r="AL215" s="770"/>
      <c r="AM215" s="770"/>
      <c r="AN215" s="770"/>
      <c r="AO215" s="770"/>
      <c r="AP215" s="770"/>
      <c r="AQ215" s="585"/>
      <c r="AR215" s="112" t="s">
        <v>117</v>
      </c>
      <c r="AS215" s="34" t="s">
        <v>937</v>
      </c>
      <c r="AT215" s="34" t="s">
        <v>359</v>
      </c>
      <c r="AU215" s="91"/>
      <c r="AW215" s="158" t="s">
        <v>360</v>
      </c>
      <c r="AX215" s="158" t="s">
        <v>459</v>
      </c>
      <c r="AY215" s="158" t="str">
        <f t="shared" si="150"/>
        <v>服务业钦南区</v>
      </c>
      <c r="AZ215" s="158" t="str">
        <f t="shared" si="151"/>
        <v>服务业</v>
      </c>
    </row>
    <row r="216" ht="15.95" hidden="1" customHeight="1" spans="1:47">
      <c r="A216" s="551"/>
      <c r="B216" s="908" t="str">
        <f>"旅游（"&amp;SUBTOTAL(3,C217)&amp;"个）"</f>
        <v>旅游（1个）</v>
      </c>
      <c r="C216" s="909"/>
      <c r="D216" s="910"/>
      <c r="E216" s="551"/>
      <c r="F216" s="134">
        <f>SUBTOTAL(9,F217)</f>
        <v>20000</v>
      </c>
      <c r="G216" s="134">
        <f t="shared" ref="G216:AP216" si="154">SUBTOTAL(9,G217)</f>
        <v>2750</v>
      </c>
      <c r="H216" s="134"/>
      <c r="I216" s="134">
        <f t="shared" si="154"/>
        <v>4000</v>
      </c>
      <c r="J216" s="134">
        <f t="shared" si="154"/>
        <v>9000</v>
      </c>
      <c r="K216" s="134">
        <f t="shared" si="154"/>
        <v>14000</v>
      </c>
      <c r="L216" s="134">
        <f t="shared" si="154"/>
        <v>17250</v>
      </c>
      <c r="M216" s="134">
        <f t="shared" si="154"/>
        <v>600</v>
      </c>
      <c r="N216" s="134"/>
      <c r="O216" s="134">
        <f t="shared" si="154"/>
        <v>0</v>
      </c>
      <c r="P216" s="134">
        <f t="shared" si="154"/>
        <v>0</v>
      </c>
      <c r="Q216" s="134">
        <f t="shared" si="154"/>
        <v>0</v>
      </c>
      <c r="R216" s="134">
        <f t="shared" si="154"/>
        <v>0</v>
      </c>
      <c r="S216" s="134">
        <f t="shared" si="154"/>
        <v>0</v>
      </c>
      <c r="T216" s="134">
        <f t="shared" si="154"/>
        <v>0</v>
      </c>
      <c r="U216" s="134">
        <f t="shared" si="154"/>
        <v>0</v>
      </c>
      <c r="V216" s="134">
        <f t="shared" si="154"/>
        <v>0</v>
      </c>
      <c r="W216" s="134">
        <f t="shared" si="154"/>
        <v>0</v>
      </c>
      <c r="X216" s="134">
        <f t="shared" si="154"/>
        <v>0</v>
      </c>
      <c r="Y216" s="134">
        <f t="shared" si="154"/>
        <v>0</v>
      </c>
      <c r="Z216" s="134">
        <f t="shared" si="154"/>
        <v>0</v>
      </c>
      <c r="AA216" s="134">
        <f t="shared" si="154"/>
        <v>0</v>
      </c>
      <c r="AB216" s="134">
        <f t="shared" si="154"/>
        <v>0</v>
      </c>
      <c r="AC216" s="134">
        <f t="shared" si="154"/>
        <v>0</v>
      </c>
      <c r="AD216" s="134">
        <f t="shared" si="154"/>
        <v>0</v>
      </c>
      <c r="AE216" s="134">
        <f t="shared" si="154"/>
        <v>0</v>
      </c>
      <c r="AF216" s="134">
        <f t="shared" si="154"/>
        <v>0</v>
      </c>
      <c r="AG216" s="134">
        <f t="shared" si="154"/>
        <v>0</v>
      </c>
      <c r="AH216" s="134">
        <f t="shared" si="154"/>
        <v>0</v>
      </c>
      <c r="AI216" s="134">
        <f t="shared" si="154"/>
        <v>0</v>
      </c>
      <c r="AJ216" s="134">
        <f t="shared" si="154"/>
        <v>0</v>
      </c>
      <c r="AK216" s="134">
        <f t="shared" si="154"/>
        <v>0</v>
      </c>
      <c r="AL216" s="134">
        <f t="shared" si="154"/>
        <v>0</v>
      </c>
      <c r="AM216" s="134">
        <f t="shared" si="154"/>
        <v>0</v>
      </c>
      <c r="AN216" s="134">
        <f t="shared" si="154"/>
        <v>0</v>
      </c>
      <c r="AO216" s="134">
        <f t="shared" si="154"/>
        <v>0</v>
      </c>
      <c r="AP216" s="134">
        <f t="shared" si="154"/>
        <v>0</v>
      </c>
      <c r="AQ216" s="585"/>
      <c r="AR216" s="112"/>
      <c r="AS216" s="591"/>
      <c r="AT216" s="134"/>
      <c r="AU216" s="91"/>
    </row>
    <row r="217" ht="80.1" customHeight="1" spans="1:52">
      <c r="A217" s="23">
        <f>SUBTOTAL(3,C$8:C217)</f>
        <v>169</v>
      </c>
      <c r="B217" s="60" t="s">
        <v>938</v>
      </c>
      <c r="C217" s="35" t="s">
        <v>810</v>
      </c>
      <c r="D217" s="58" t="s">
        <v>939</v>
      </c>
      <c r="E217" s="23" t="s">
        <v>827</v>
      </c>
      <c r="F217" s="67">
        <v>20000</v>
      </c>
      <c r="G217" s="67">
        <v>2750</v>
      </c>
      <c r="H217" s="81" t="s">
        <v>283</v>
      </c>
      <c r="I217" s="37">
        <v>4000</v>
      </c>
      <c r="J217" s="37">
        <v>9000</v>
      </c>
      <c r="K217" s="37">
        <v>14000</v>
      </c>
      <c r="L217" s="637">
        <v>17250</v>
      </c>
      <c r="M217" s="637">
        <v>600</v>
      </c>
      <c r="N217" s="112" t="s">
        <v>432</v>
      </c>
      <c r="O217" s="133"/>
      <c r="P217" s="134"/>
      <c r="Q217" s="37"/>
      <c r="R217" s="37"/>
      <c r="S217" s="37"/>
      <c r="T217" s="37"/>
      <c r="U217" s="37"/>
      <c r="V217" s="37"/>
      <c r="W217" s="37"/>
      <c r="X217" s="585"/>
      <c r="Y217" s="585"/>
      <c r="Z217" s="770"/>
      <c r="AA217" s="770"/>
      <c r="AB217" s="770"/>
      <c r="AC217" s="770"/>
      <c r="AD217" s="770"/>
      <c r="AE217" s="770"/>
      <c r="AF217" s="770"/>
      <c r="AG217" s="770"/>
      <c r="AH217" s="770"/>
      <c r="AI217" s="770"/>
      <c r="AJ217" s="770"/>
      <c r="AK217" s="770"/>
      <c r="AL217" s="770"/>
      <c r="AM217" s="770"/>
      <c r="AN217" s="770"/>
      <c r="AO217" s="770"/>
      <c r="AP217" s="770"/>
      <c r="AQ217" s="585"/>
      <c r="AR217" s="112" t="s">
        <v>117</v>
      </c>
      <c r="AS217" s="123" t="s">
        <v>940</v>
      </c>
      <c r="AT217" s="34" t="s">
        <v>375</v>
      </c>
      <c r="AU217" s="91"/>
      <c r="AW217" s="158" t="s">
        <v>376</v>
      </c>
      <c r="AX217" s="158" t="s">
        <v>459</v>
      </c>
      <c r="AY217" s="158" t="str">
        <f>AX217&amp;AW217</f>
        <v>服务业钦北区</v>
      </c>
      <c r="AZ217" s="158" t="str">
        <f>AX217</f>
        <v>服务业</v>
      </c>
    </row>
  </sheetData>
  <autoFilter ref="A6:BN216">
    <filterColumn colId="0">
      <customFilters and="1">
        <customFilter operator="notEqual" val=""/>
        <customFilter operator="equal" val=""/>
      </customFilters>
    </filterColumn>
    <extLst/>
  </autoFilter>
  <mergeCells count="85">
    <mergeCell ref="A1:B1"/>
    <mergeCell ref="A2:AU2"/>
    <mergeCell ref="A3:B3"/>
    <mergeCell ref="AS3:AT3"/>
    <mergeCell ref="H4:N4"/>
    <mergeCell ref="O4:P4"/>
    <mergeCell ref="Q4:W4"/>
    <mergeCell ref="Z4:AB4"/>
    <mergeCell ref="AC4:AE4"/>
    <mergeCell ref="AF4:AH4"/>
    <mergeCell ref="AI4:AK4"/>
    <mergeCell ref="AL4:AP4"/>
    <mergeCell ref="BE4:BG4"/>
    <mergeCell ref="A7:D7"/>
    <mergeCell ref="B8:D8"/>
    <mergeCell ref="B9:D9"/>
    <mergeCell ref="B10:D10"/>
    <mergeCell ref="B21:D21"/>
    <mergeCell ref="B25:D25"/>
    <mergeCell ref="B36:D36"/>
    <mergeCell ref="B41:D41"/>
    <mergeCell ref="B52:D52"/>
    <mergeCell ref="B61:D61"/>
    <mergeCell ref="B64:D64"/>
    <mergeCell ref="B72:D72"/>
    <mergeCell ref="B79:D79"/>
    <mergeCell ref="B100:D100"/>
    <mergeCell ref="B101:D101"/>
    <mergeCell ref="B102:D102"/>
    <mergeCell ref="B105:D105"/>
    <mergeCell ref="B108:D108"/>
    <mergeCell ref="B117:D117"/>
    <mergeCell ref="B120:D120"/>
    <mergeCell ref="B122:D122"/>
    <mergeCell ref="B124:D124"/>
    <mergeCell ref="B130:D130"/>
    <mergeCell ref="B134:D134"/>
    <mergeCell ref="B140:D140"/>
    <mergeCell ref="B146:D146"/>
    <mergeCell ref="B152:D152"/>
    <mergeCell ref="B167:D167"/>
    <mergeCell ref="B168:D168"/>
    <mergeCell ref="B169:D169"/>
    <mergeCell ref="B172:D172"/>
    <mergeCell ref="B174:D174"/>
    <mergeCell ref="B177:D177"/>
    <mergeCell ref="B185:D185"/>
    <mergeCell ref="B187:D187"/>
    <mergeCell ref="B192:D192"/>
    <mergeCell ref="B196:D196"/>
    <mergeCell ref="B201:D201"/>
    <mergeCell ref="B207:D207"/>
    <mergeCell ref="B208:D208"/>
    <mergeCell ref="B211:D211"/>
    <mergeCell ref="B216:D216"/>
    <mergeCell ref="A4:A5"/>
    <mergeCell ref="B4:B5"/>
    <mergeCell ref="C4:C5"/>
    <mergeCell ref="D4:D5"/>
    <mergeCell ref="E4:E5"/>
    <mergeCell ref="F4:F5"/>
    <mergeCell ref="G4:G5"/>
    <mergeCell ref="X4:X5"/>
    <mergeCell ref="Y4:Y5"/>
    <mergeCell ref="AQ4:AQ5"/>
    <mergeCell ref="AR4:AR5"/>
    <mergeCell ref="AS4:AS5"/>
    <mergeCell ref="AT4:AT5"/>
    <mergeCell ref="AU4:AU5"/>
    <mergeCell ref="AV4:AV5"/>
    <mergeCell ref="AW4:AW5"/>
    <mergeCell ref="AX4:AX5"/>
    <mergeCell ref="AY4:AY5"/>
    <mergeCell ref="AZ4:AZ5"/>
    <mergeCell ref="BA4:BA5"/>
    <mergeCell ref="BB4:BB5"/>
    <mergeCell ref="BC4:BC5"/>
    <mergeCell ref="BD4:BD5"/>
    <mergeCell ref="BH4:BH5"/>
    <mergeCell ref="BI4:BI5"/>
    <mergeCell ref="BJ4:BJ5"/>
    <mergeCell ref="BK4:BK5"/>
    <mergeCell ref="BL4:BL5"/>
    <mergeCell ref="BM4:BM5"/>
    <mergeCell ref="BN4:BN5"/>
  </mergeCells>
  <printOptions horizontalCentered="1"/>
  <pageMargins left="0.668055555555556" right="0.314583333333333" top="0.747916666666667" bottom="0.747916666666667" header="0.314583333333333" footer="0.472222222222222"/>
  <pageSetup paperSize="9" scale="64" firstPageNumber="4294963191" fitToHeight="0" orientation="landscape" useFirstPageNumber="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K69"/>
  <sheetViews>
    <sheetView showZeros="0" zoomScale="70" zoomScaleNormal="70" topLeftCell="A2" workbookViewId="0">
      <pane xSplit="1" ySplit="4" topLeftCell="B23" activePane="bottomRight" state="frozen"/>
      <selection/>
      <selection pane="topRight"/>
      <selection pane="bottomLeft"/>
      <selection pane="bottomRight" activeCell="B31" sqref="B31"/>
    </sheetView>
  </sheetViews>
  <sheetFormatPr defaultColWidth="8.85714285714286" defaultRowHeight="12"/>
  <cols>
    <col min="1" max="1" width="8.85714285714286" style="335" customWidth="1"/>
    <col min="2" max="2" width="31.4285714285714" style="336" customWidth="1"/>
    <col min="3" max="3" width="7.71428571428571" style="337" customWidth="1"/>
    <col min="4" max="4" width="12.8571428571429" style="338" customWidth="1"/>
    <col min="5" max="6" width="10.7142857142857" style="338" customWidth="1"/>
    <col min="7" max="7" width="10.7142857142857" style="339" hidden="1" customWidth="1"/>
    <col min="8" max="8" width="10.7142857142857" style="340" hidden="1" customWidth="1"/>
    <col min="9" max="9" width="8.71428571428571" style="337" customWidth="1"/>
    <col min="10" max="11" width="12.7142857142857" style="335" hidden="1" customWidth="1"/>
    <col min="12" max="12" width="13.5714285714286" style="335" customWidth="1"/>
    <col min="13" max="13" width="9.71428571428571" style="335" hidden="1" customWidth="1"/>
    <col min="14" max="14" width="9.71428571428571" style="341" hidden="1" customWidth="1"/>
    <col min="15" max="15" width="9.71428571428571" style="342" hidden="1" customWidth="1"/>
    <col min="16" max="16" width="8.71428571428571" style="337" customWidth="1"/>
    <col min="17" max="18" width="12.7142857142857" style="335" hidden="1" customWidth="1"/>
    <col min="19" max="19" width="14.1428571428571" style="335" customWidth="1"/>
    <col min="20" max="20" width="8.85714285714286" style="335" hidden="1" customWidth="1"/>
    <col min="21" max="21" width="9.71428571428571" style="338" hidden="1" customWidth="1"/>
    <col min="22" max="22" width="9.71428571428571" style="342" hidden="1" customWidth="1"/>
    <col min="23" max="16384" width="8.85714285714286" style="335"/>
  </cols>
  <sheetData>
    <row r="1" ht="21.75" hidden="1" customHeight="1" spans="1:16">
      <c r="A1" s="343" t="s">
        <v>2744</v>
      </c>
      <c r="B1" s="344"/>
      <c r="C1" s="345"/>
      <c r="D1" s="346"/>
      <c r="E1" s="346"/>
      <c r="F1" s="346"/>
      <c r="G1" s="347"/>
      <c r="H1" s="348"/>
      <c r="I1" s="335"/>
      <c r="P1" s="335"/>
    </row>
    <row r="2" ht="68.65" customHeight="1" spans="1:22">
      <c r="A2" s="349" t="s">
        <v>2791</v>
      </c>
      <c r="B2" s="349"/>
      <c r="C2" s="349"/>
      <c r="D2" s="349"/>
      <c r="E2" s="349"/>
      <c r="F2" s="349"/>
      <c r="G2" s="349"/>
      <c r="H2" s="349"/>
      <c r="I2" s="349"/>
      <c r="J2" s="349"/>
      <c r="K2" s="349"/>
      <c r="L2" s="349"/>
      <c r="M2" s="349"/>
      <c r="N2" s="349"/>
      <c r="O2" s="349"/>
      <c r="P2" s="349"/>
      <c r="Q2" s="349"/>
      <c r="R2" s="349"/>
      <c r="S2" s="349"/>
      <c r="T2" s="349"/>
      <c r="U2" s="404"/>
      <c r="V2" s="405"/>
    </row>
    <row r="3" s="333" customFormat="1" ht="18.75" customHeight="1" spans="1:22">
      <c r="A3" s="350"/>
      <c r="B3" s="350"/>
      <c r="C3" s="350"/>
      <c r="D3" s="351"/>
      <c r="E3" s="352"/>
      <c r="F3" s="352"/>
      <c r="G3" s="353"/>
      <c r="H3" s="354"/>
      <c r="I3" s="387"/>
      <c r="N3" s="388"/>
      <c r="O3" s="389"/>
      <c r="P3" s="387"/>
      <c r="S3" s="406" t="s">
        <v>3</v>
      </c>
      <c r="T3" s="406"/>
      <c r="U3" s="407"/>
      <c r="V3" s="389"/>
    </row>
    <row r="4" ht="30" customHeight="1" spans="1:22">
      <c r="A4" s="355" t="s">
        <v>1695</v>
      </c>
      <c r="B4" s="355" t="s">
        <v>2746</v>
      </c>
      <c r="C4" s="355" t="s">
        <v>2721</v>
      </c>
      <c r="D4" s="355" t="s">
        <v>1700</v>
      </c>
      <c r="E4" s="355" t="s">
        <v>1701</v>
      </c>
      <c r="F4" s="355" t="s">
        <v>2724</v>
      </c>
      <c r="G4" s="356" t="s">
        <v>2726</v>
      </c>
      <c r="H4" s="357" t="s">
        <v>2727</v>
      </c>
      <c r="I4" s="390" t="s">
        <v>2792</v>
      </c>
      <c r="J4" s="391"/>
      <c r="K4" s="391"/>
      <c r="L4" s="391"/>
      <c r="M4" s="392"/>
      <c r="N4" s="393"/>
      <c r="O4" s="394"/>
      <c r="P4" s="390" t="s">
        <v>2793</v>
      </c>
      <c r="Q4" s="391"/>
      <c r="R4" s="391"/>
      <c r="S4" s="392"/>
      <c r="T4" s="408"/>
      <c r="U4" s="409"/>
      <c r="V4" s="394"/>
    </row>
    <row r="5" ht="69.6" customHeight="1" spans="1:22">
      <c r="A5" s="355"/>
      <c r="B5" s="355"/>
      <c r="C5" s="355"/>
      <c r="D5" s="355"/>
      <c r="E5" s="355"/>
      <c r="F5" s="355"/>
      <c r="G5" s="358"/>
      <c r="H5" s="359"/>
      <c r="I5" s="395" t="s">
        <v>2731</v>
      </c>
      <c r="J5" s="395" t="s">
        <v>1700</v>
      </c>
      <c r="K5" s="395" t="s">
        <v>1701</v>
      </c>
      <c r="L5" s="395" t="s">
        <v>1709</v>
      </c>
      <c r="M5" s="395" t="s">
        <v>2732</v>
      </c>
      <c r="N5" s="396" t="s">
        <v>2733</v>
      </c>
      <c r="O5" s="397" t="s">
        <v>2727</v>
      </c>
      <c r="P5" s="395" t="s">
        <v>2731</v>
      </c>
      <c r="Q5" s="395" t="s">
        <v>1700</v>
      </c>
      <c r="R5" s="395" t="s">
        <v>1701</v>
      </c>
      <c r="S5" s="395" t="s">
        <v>1709</v>
      </c>
      <c r="T5" s="395" t="s">
        <v>2732</v>
      </c>
      <c r="U5" s="410" t="s">
        <v>2733</v>
      </c>
      <c r="V5" s="397" t="s">
        <v>2727</v>
      </c>
    </row>
    <row r="6" ht="27.75" customHeight="1" spans="1:22">
      <c r="A6" s="360"/>
      <c r="B6" s="361"/>
      <c r="C6" s="360"/>
      <c r="D6" s="362"/>
      <c r="E6" s="363"/>
      <c r="F6" s="364"/>
      <c r="G6" s="365"/>
      <c r="H6" s="366"/>
      <c r="I6" s="398"/>
      <c r="J6" s="399"/>
      <c r="K6" s="399"/>
      <c r="L6" s="399"/>
      <c r="M6" s="399"/>
      <c r="N6" s="400"/>
      <c r="O6" s="401"/>
      <c r="P6" s="398"/>
      <c r="Q6" s="399"/>
      <c r="R6" s="399"/>
      <c r="S6" s="399"/>
      <c r="T6" s="399"/>
      <c r="U6" s="411"/>
      <c r="V6" s="401"/>
    </row>
    <row r="7" ht="49.9" customHeight="1" spans="1:22">
      <c r="A7" s="367" t="s">
        <v>2739</v>
      </c>
      <c r="B7" s="367"/>
      <c r="C7" s="368">
        <f>C8+C22+C37</f>
        <v>410</v>
      </c>
      <c r="D7" s="368">
        <f t="shared" ref="D7:S7" si="0">D8+D22+D37</f>
        <v>26027936.946</v>
      </c>
      <c r="E7" s="369">
        <f t="shared" si="0"/>
        <v>3083293.4</v>
      </c>
      <c r="F7" s="368">
        <f t="shared" si="0"/>
        <v>3321353.886</v>
      </c>
      <c r="G7" s="370">
        <f t="shared" si="0"/>
        <v>0</v>
      </c>
      <c r="H7" s="371">
        <f>G7/F7</f>
        <v>0</v>
      </c>
      <c r="I7" s="368">
        <f t="shared" si="0"/>
        <v>221</v>
      </c>
      <c r="J7" s="368">
        <f t="shared" si="0"/>
        <v>8239019.726</v>
      </c>
      <c r="K7" s="368">
        <f t="shared" si="0"/>
        <v>2028883.4</v>
      </c>
      <c r="L7" s="368">
        <f t="shared" si="0"/>
        <v>1428464.886</v>
      </c>
      <c r="M7" s="402">
        <f t="shared" ref="M7:M41" si="1">L7/F7</f>
        <v>0.430085120414657</v>
      </c>
      <c r="N7" s="368">
        <f>N8+N22+N37</f>
        <v>0</v>
      </c>
      <c r="O7" s="403">
        <f>N7/L7</f>
        <v>0</v>
      </c>
      <c r="P7" s="368">
        <f t="shared" si="0"/>
        <v>189</v>
      </c>
      <c r="Q7" s="368">
        <f t="shared" si="0"/>
        <v>17788917.22</v>
      </c>
      <c r="R7" s="368">
        <f t="shared" si="0"/>
        <v>1054410</v>
      </c>
      <c r="S7" s="368">
        <f t="shared" si="0"/>
        <v>1892889</v>
      </c>
      <c r="T7" s="402">
        <f t="shared" ref="T7:T42" si="2">S7/F7</f>
        <v>0.569914879585343</v>
      </c>
      <c r="U7" s="368">
        <f>U8+U22+U37</f>
        <v>0</v>
      </c>
      <c r="V7" s="403">
        <f>U7/S7</f>
        <v>0</v>
      </c>
    </row>
    <row r="8" ht="30" customHeight="1" spans="1:22">
      <c r="A8" s="372" t="s">
        <v>76</v>
      </c>
      <c r="B8" s="373" t="s">
        <v>2747</v>
      </c>
      <c r="C8" s="368">
        <f>SUM(C9:C21)-C14-C20</f>
        <v>358</v>
      </c>
      <c r="D8" s="368">
        <f t="shared" ref="D8:S8" si="3">SUM(D9:D21)-D14-D20</f>
        <v>16989167.416</v>
      </c>
      <c r="E8" s="368">
        <f t="shared" si="3"/>
        <v>2125932</v>
      </c>
      <c r="F8" s="368">
        <f t="shared" si="3"/>
        <v>2466894.886</v>
      </c>
      <c r="G8" s="370">
        <f t="shared" si="3"/>
        <v>0</v>
      </c>
      <c r="H8" s="371">
        <f t="shared" ref="H8:H69" si="4">G8/F8</f>
        <v>0</v>
      </c>
      <c r="I8" s="368">
        <f t="shared" si="3"/>
        <v>177</v>
      </c>
      <c r="J8" s="368">
        <f t="shared" si="3"/>
        <v>4950978.196</v>
      </c>
      <c r="K8" s="368">
        <f t="shared" si="3"/>
        <v>1129518</v>
      </c>
      <c r="L8" s="368">
        <f t="shared" si="3"/>
        <v>717365.886</v>
      </c>
      <c r="M8" s="403">
        <f t="shared" si="1"/>
        <v>0.290797102896909</v>
      </c>
      <c r="N8" s="368">
        <f>SUM(N9:N21)-N14-N20</f>
        <v>0</v>
      </c>
      <c r="O8" s="403">
        <f t="shared" ref="O8:O69" si="5">N8/L8</f>
        <v>0</v>
      </c>
      <c r="P8" s="368">
        <f t="shared" si="3"/>
        <v>181</v>
      </c>
      <c r="Q8" s="368">
        <f t="shared" si="3"/>
        <v>12038189.22</v>
      </c>
      <c r="R8" s="368">
        <f t="shared" si="3"/>
        <v>996414</v>
      </c>
      <c r="S8" s="368">
        <f t="shared" si="3"/>
        <v>1749529</v>
      </c>
      <c r="T8" s="403">
        <f t="shared" si="2"/>
        <v>0.709202897103091</v>
      </c>
      <c r="U8" s="368">
        <f>SUM(U9:U21)-U14-U20</f>
        <v>0</v>
      </c>
      <c r="V8" s="403">
        <f t="shared" ref="V8:V69" si="6">U8/S8</f>
        <v>0</v>
      </c>
    </row>
    <row r="9" s="334" customFormat="1" ht="30" customHeight="1" spans="1:22">
      <c r="A9" s="374">
        <v>1</v>
      </c>
      <c r="B9" s="375" t="s">
        <v>269</v>
      </c>
      <c r="C9" s="376">
        <f t="shared" ref="C9:F13" si="7">I9+P9</f>
        <v>68</v>
      </c>
      <c r="D9" s="376">
        <f t="shared" si="7"/>
        <v>2068430</v>
      </c>
      <c r="E9" s="376">
        <f t="shared" si="7"/>
        <v>199958</v>
      </c>
      <c r="F9" s="376">
        <f t="shared" si="7"/>
        <v>402723</v>
      </c>
      <c r="G9" s="377">
        <f>N9+U9</f>
        <v>0</v>
      </c>
      <c r="H9" s="371">
        <f t="shared" si="4"/>
        <v>0</v>
      </c>
      <c r="I9" s="376">
        <f>COUNTIF(开!$BM$8:$BM$213,"政府"&amp;$B9)+COUNTIF('续 '!$BH$8:$BH$198,"政府"&amp;$B9)+COUNTIF(竣!$BI$26:$BI$130,"政府"&amp;$B9)</f>
        <v>38</v>
      </c>
      <c r="J9" s="376">
        <f>SUMIF(开!$BM$8:$BM$213,"政府"&amp;$B9,开!$F$8:$F$213)+SUMIF('续 '!$BH$8:$BH$198,"政府"&amp;$B9,'续 '!$F$8:$F$198)+SUMIF(竣!$BI$26:$BI$130,"政府"&amp;$B9,竣!$F$26:$F$130)</f>
        <v>605266</v>
      </c>
      <c r="K9" s="376">
        <f>SUMIF('续 '!$BH$8:$BH$198,"政府"&amp;$B9,'续 '!$G$8:$G$198)+SUMIF(竣!$BI$26:$BI$130,"政府"&amp;$B9,竣!$G$26:$G$130)</f>
        <v>26106</v>
      </c>
      <c r="L9" s="376">
        <f>SUMIF(开!$BM$8:$BM$213,"政府"&amp;$B9,开!$L$8:$L$213)+SUMIF('续 '!$BH$8:$BH$198,"政府"&amp;$B9,'续 '!$L$8:$L$198)+SUMIF(竣!$BI$26:$BI$130,"政府"&amp;$B9,竣!$L$26:$L$130)</f>
        <v>107581</v>
      </c>
      <c r="M9" s="403">
        <f t="shared" si="1"/>
        <v>0.267133985394427</v>
      </c>
      <c r="N9" s="376">
        <f>SUMIF(开!$BM$8:$BM$213,"政府"&amp;$B9,开!$P$8:$P$213)+SUMIF('续 '!$BH$8:$BH$198,"政府"&amp;$B9,'续 '!$O$8:$O$198)+SUMIF(竣!$BI$26:$BI$130,"政府"&amp;$B9,竣!$O$26:$O$130)</f>
        <v>0</v>
      </c>
      <c r="O9" s="403">
        <f t="shared" si="5"/>
        <v>0</v>
      </c>
      <c r="P9" s="376">
        <f>COUNTIF(开!$BM$8:$BM$213,"企业"&amp;$B9)+COUNTIF('续 '!$BH$8:$BH$198,"企业"&amp;$B9)+COUNTIF(竣!$BI$26:$BI$130,"企业"&amp;$B9)</f>
        <v>30</v>
      </c>
      <c r="Q9" s="376">
        <f>SUMIF(开!$BM$8:$BM$213,"企业"&amp;$B9,开!$F$8:$F$213)+SUMIF('续 '!$BH$8:$BH$198,"企业"&amp;$B9,'续 '!$F$8:$F$198)+SUMIF(竣!$BI$26:$BI$130,"企业"&amp;$B9,竣!$F$26:$F$130)</f>
        <v>1463164</v>
      </c>
      <c r="R9" s="376">
        <f>SUMIF('续 '!$BH$8:$BH$198,"企业"&amp;$B9,'续 '!$G$8:$G$198)+SUMIF(竣!$BI$26:$BI$130,"企业"&amp;$B9,竣!$G$26:$G$130)</f>
        <v>173852</v>
      </c>
      <c r="S9" s="376">
        <f>SUMIF(开!$BM$8:$BM$213,"企业"&amp;$B9,开!$L$8:$L$213)+SUMIF('续 '!$BH$8:$BH$198,"企业"&amp;$B9,'续 '!$L$8:$L$198)+SUMIF(竣!$BI$26:$BI$130,"企业"&amp;$B9,竣!$L$26:$L$130)</f>
        <v>295142</v>
      </c>
      <c r="T9" s="403">
        <f t="shared" si="2"/>
        <v>0.732866014605573</v>
      </c>
      <c r="U9" s="376">
        <f>SUMIF(开!$BM$8:$BM$213,"企业"&amp;$B9,开!$P$8:$P$213)+SUMIF('续 '!$BH$8:$BH$198,"企业"&amp;$B9,'续 '!$O$8:$O$198)+SUMIF(竣!$BI$26:$BI$130,"企业"&amp;$B9,竣!$O$26:$O$130)</f>
        <v>0</v>
      </c>
      <c r="V9" s="403">
        <f t="shared" si="6"/>
        <v>0</v>
      </c>
    </row>
    <row r="10" s="334" customFormat="1" ht="30" customHeight="1" spans="1:22">
      <c r="A10" s="374">
        <v>2</v>
      </c>
      <c r="B10" s="375" t="s">
        <v>317</v>
      </c>
      <c r="C10" s="376">
        <f t="shared" si="7"/>
        <v>51</v>
      </c>
      <c r="D10" s="376">
        <f t="shared" si="7"/>
        <v>983660</v>
      </c>
      <c r="E10" s="376">
        <f t="shared" si="7"/>
        <v>176386</v>
      </c>
      <c r="F10" s="376">
        <f t="shared" si="7"/>
        <v>217765</v>
      </c>
      <c r="G10" s="377">
        <f t="shared" ref="G10:G60" si="8">N10+U10</f>
        <v>0</v>
      </c>
      <c r="H10" s="371">
        <f t="shared" si="4"/>
        <v>0</v>
      </c>
      <c r="I10" s="376">
        <f>COUNTIF(开!$BM$8:$BM$213,"政府"&amp;$B10)+COUNTIF('续 '!$BH$8:$BH$198,"政府"&amp;$B10)+COUNTIF(竣!$BI$26:$BI$130,"政府"&amp;$B10)</f>
        <v>26</v>
      </c>
      <c r="J10" s="376">
        <f>SUMIF(开!$BM$8:$BM$213,"政府"&amp;$B10,开!$F$8:$F$213)+SUMIF('续 '!$BH$8:$BH$198,"政府"&amp;$B10,'续 '!$F$8:$F$198)+SUMIF(竣!$BI$26:$BI$130,"政府"&amp;$B10,竣!$F$26:$F$130)</f>
        <v>607771</v>
      </c>
      <c r="K10" s="376">
        <f>SUMIF('续 '!$BH$8:$BH$198,"政府"&amp;$B10,'续 '!$G$8:$G$198)+SUMIF(竣!$BI$26:$BI$130,"政府"&amp;$B10,竣!$G$26:$G$130)</f>
        <v>130830</v>
      </c>
      <c r="L10" s="376">
        <f>SUMIF(开!$BM$8:$BM$213,"政府"&amp;$B10,开!$L$8:$L$213)+SUMIF('续 '!$BH$8:$BH$198,"政府"&amp;$B10,'续 '!$L$8:$L$198)+SUMIF(竣!$BI$26:$BI$130,"政府"&amp;$B10,竣!$L$26:$L$130)</f>
        <v>96524</v>
      </c>
      <c r="M10" s="403">
        <f t="shared" si="1"/>
        <v>0.443248455904301</v>
      </c>
      <c r="N10" s="376">
        <f>SUMIF(开!$BM$8:$BM$213,"政府"&amp;$B10,开!$P$8:$P$213)+SUMIF('续 '!$BH$8:$BH$198,"政府"&amp;$B10,'续 '!$O$8:$O$198)+SUMIF(竣!$BI$26:$BI$130,"政府"&amp;$B10,竣!$O$26:$O$130)</f>
        <v>0</v>
      </c>
      <c r="O10" s="403">
        <f t="shared" si="5"/>
        <v>0</v>
      </c>
      <c r="P10" s="376">
        <f>COUNTIF(开!$BM$8:$BM$213,"企业"&amp;$B10)+COUNTIF('续 '!$BH$8:$BH$198,"企业"&amp;$B10)+COUNTIF(竣!$BI$26:$BI$130,"企业"&amp;$B10)</f>
        <v>25</v>
      </c>
      <c r="Q10" s="376">
        <f>SUMIF(开!$BM$8:$BM$213,"企业"&amp;$B10,开!$F$8:$F$213)+SUMIF('续 '!$BH$8:$BH$198,"企业"&amp;$B10,'续 '!$F$8:$F$198)+SUMIF(竣!$BI$26:$BI$130,"企业"&amp;$B10,竣!$F$26:$F$130)</f>
        <v>375889</v>
      </c>
      <c r="R10" s="376">
        <f>SUMIF('续 '!$BH$8:$BH$198,"企业"&amp;$B10,'续 '!$G$8:$G$198)+SUMIF(竣!$BI$26:$BI$130,"企业"&amp;$B10,竣!$G$26:$G$130)</f>
        <v>45556</v>
      </c>
      <c r="S10" s="376">
        <f>SUMIF(开!$BM$8:$BM$213,"企业"&amp;$B10,开!$L$8:$L$213)+SUMIF('续 '!$BH$8:$BH$198,"企业"&amp;$B10,'续 '!$L$8:$L$198)+SUMIF(竣!$BI$26:$BI$130,"企业"&amp;$B10,竣!$L$26:$L$130)</f>
        <v>121241</v>
      </c>
      <c r="T10" s="403">
        <f t="shared" si="2"/>
        <v>0.556751544095699</v>
      </c>
      <c r="U10" s="376">
        <f>SUMIF(开!$BM$8:$BM$213,"企业"&amp;$B10,开!$P$8:$P$213)+SUMIF('续 '!$BH$8:$BH$198,"企业"&amp;$B10,'续 '!$O$8:$O$198)+SUMIF(竣!$BI$26:$BI$130,"企业"&amp;$B10,竣!$O$26:$O$130)</f>
        <v>0</v>
      </c>
      <c r="V10" s="403">
        <f t="shared" si="6"/>
        <v>0</v>
      </c>
    </row>
    <row r="11" s="334" customFormat="1" ht="30" customHeight="1" spans="1:22">
      <c r="A11" s="374">
        <v>3</v>
      </c>
      <c r="B11" s="375" t="s">
        <v>359</v>
      </c>
      <c r="C11" s="376">
        <f t="shared" si="7"/>
        <v>43</v>
      </c>
      <c r="D11" s="376">
        <f t="shared" si="7"/>
        <v>1065185.02</v>
      </c>
      <c r="E11" s="376">
        <f t="shared" si="7"/>
        <v>268144</v>
      </c>
      <c r="F11" s="376">
        <f t="shared" si="7"/>
        <v>159868.8</v>
      </c>
      <c r="G11" s="377">
        <f t="shared" si="8"/>
        <v>0</v>
      </c>
      <c r="H11" s="371">
        <f t="shared" si="4"/>
        <v>0</v>
      </c>
      <c r="I11" s="376">
        <f>COUNTIF(开!$BM$8:$BM$213,"政府"&amp;$B11)+COUNTIF('续 '!$BH$8:$BH$198,"政府"&amp;$B11)+COUNTIF(竣!$BI$26:$BI$130,"政府"&amp;$B11)</f>
        <v>13</v>
      </c>
      <c r="J11" s="376">
        <f>SUMIF(开!$BM$8:$BM$213,"政府"&amp;$B11,开!$F$8:$F$213)+SUMIF('续 '!$BH$8:$BH$198,"政府"&amp;$B11,'续 '!$F$8:$F$198)+SUMIF(竣!$BI$26:$BI$130,"政府"&amp;$B11,竣!$F$26:$F$130)</f>
        <v>92117.8</v>
      </c>
      <c r="K11" s="376">
        <f>SUMIF('续 '!$BH$8:$BH$198,"政府"&amp;$B11,'续 '!$G$8:$G$198)+SUMIF(竣!$BI$26:$BI$130,"政府"&amp;$B11,竣!$G$26:$G$130)</f>
        <v>20378</v>
      </c>
      <c r="L11" s="376">
        <f>SUMIF(开!$BM$8:$BM$213,"政府"&amp;$B11,开!$L$8:$L$213)+SUMIF('续 '!$BH$8:$BH$198,"政府"&amp;$B11,'续 '!$L$8:$L$198)+SUMIF(竣!$BI$26:$BI$130,"政府"&amp;$B11,竣!$L$26:$L$130)</f>
        <v>27385.8</v>
      </c>
      <c r="M11" s="403">
        <f t="shared" si="1"/>
        <v>0.171301717408275</v>
      </c>
      <c r="N11" s="376">
        <f>SUMIF(开!$BM$8:$BM$213,"政府"&amp;$B11,开!$P$8:$P$213)+SUMIF('续 '!$BH$8:$BH$198,"政府"&amp;$B11,'续 '!$O$8:$O$198)+SUMIF(竣!$BI$26:$BI$130,"政府"&amp;$B11,竣!$O$26:$O$130)</f>
        <v>0</v>
      </c>
      <c r="O11" s="403">
        <f t="shared" si="5"/>
        <v>0</v>
      </c>
      <c r="P11" s="376">
        <f>COUNTIF(开!$BM$8:$BM$213,"企业"&amp;$B11)+COUNTIF('续 '!$BH$8:$BH$198,"企业"&amp;$B11)+COUNTIF(竣!$BI$26:$BI$130,"企业"&amp;$B11)</f>
        <v>30</v>
      </c>
      <c r="Q11" s="376">
        <f>SUMIF(开!$BM$8:$BM$213,"企业"&amp;$B11,开!$F$8:$F$213)+SUMIF('续 '!$BH$8:$BH$198,"企业"&amp;$B11,'续 '!$F$8:$F$198)+SUMIF(竣!$BI$26:$BI$130,"企业"&amp;$B11,竣!$F$26:$F$130)</f>
        <v>973067.22</v>
      </c>
      <c r="R11" s="376">
        <f>SUMIF('续 '!$BH$8:$BH$198,"企业"&amp;$B11,'续 '!$G$8:$G$198)+SUMIF(竣!$BI$26:$BI$130,"企业"&amp;$B11,竣!$G$26:$G$130)</f>
        <v>247766</v>
      </c>
      <c r="S11" s="376">
        <f>SUMIF(开!$BM$8:$BM$213,"企业"&amp;$B11,开!$L$8:$L$213)+SUMIF('续 '!$BH$8:$BH$198,"企业"&amp;$B11,'续 '!$L$8:$L$198)+SUMIF(竣!$BI$26:$BI$130,"企业"&amp;$B11,竣!$L$26:$L$130)</f>
        <v>132483</v>
      </c>
      <c r="T11" s="403">
        <f t="shared" si="2"/>
        <v>0.828698282591725</v>
      </c>
      <c r="U11" s="376">
        <f>SUMIF(开!$BM$8:$BM$213,"企业"&amp;$B11,开!$P$8:$P$213)+SUMIF('续 '!$BH$8:$BH$198,"企业"&amp;$B11,'续 '!$O$8:$O$198)+SUMIF(竣!$BI$26:$BI$130,"企业"&amp;$B11,竣!$O$26:$O$130)</f>
        <v>0</v>
      </c>
      <c r="V11" s="403">
        <f t="shared" si="6"/>
        <v>0</v>
      </c>
    </row>
    <row r="12" s="334" customFormat="1" ht="30" customHeight="1" spans="1:22">
      <c r="A12" s="374">
        <v>4</v>
      </c>
      <c r="B12" s="375" t="s">
        <v>375</v>
      </c>
      <c r="C12" s="376">
        <f t="shared" si="7"/>
        <v>58</v>
      </c>
      <c r="D12" s="376">
        <f t="shared" si="7"/>
        <v>1628117.99</v>
      </c>
      <c r="E12" s="376">
        <f t="shared" si="7"/>
        <v>213047</v>
      </c>
      <c r="F12" s="376">
        <f t="shared" si="7"/>
        <v>288894</v>
      </c>
      <c r="G12" s="377">
        <f t="shared" si="8"/>
        <v>0</v>
      </c>
      <c r="H12" s="371">
        <f t="shared" si="4"/>
        <v>0</v>
      </c>
      <c r="I12" s="376">
        <f>COUNTIF(开!$BM$8:$BM$213,"政府"&amp;$B12)+COUNTIF('续 '!$BH$8:$BH$198,"政府"&amp;$B12)+COUNTIF(竣!$BI$26:$BI$130,"政府"&amp;$B12)</f>
        <v>32</v>
      </c>
      <c r="J12" s="376">
        <f>SUMIF(开!$BM$8:$BM$213,"政府"&amp;$B12,开!$F$8:$F$213)+SUMIF('续 '!$BH$8:$BH$198,"政府"&amp;$B12,'续 '!$F$8:$F$198)+SUMIF(竣!$BI$26:$BI$130,"政府"&amp;$B12,竣!$F$26:$F$130)</f>
        <v>534440.99</v>
      </c>
      <c r="K12" s="376">
        <f>SUMIF('续 '!$BH$8:$BH$198,"政府"&amp;$B12,'续 '!$G$8:$G$198)+SUMIF(竣!$BI$26:$BI$130,"政府"&amp;$B12,竣!$G$26:$G$130)</f>
        <v>110337</v>
      </c>
      <c r="L12" s="376">
        <f>SUMIF(开!$BM$8:$BM$213,"政府"&amp;$B12,开!$L$8:$L$213)+SUMIF('续 '!$BH$8:$BH$198,"政府"&amp;$B12,'续 '!$L$8:$L$198)+SUMIF(竣!$BI$26:$BI$130,"政府"&amp;$B12,竣!$L$26:$L$130)</f>
        <v>128077</v>
      </c>
      <c r="M12" s="403">
        <f t="shared" si="1"/>
        <v>0.443335617908299</v>
      </c>
      <c r="N12" s="376">
        <f>SUMIF(开!$BM$8:$BM$213,"政府"&amp;$B12,开!$P$8:$P$213)+SUMIF('续 '!$BH$8:$BH$198,"政府"&amp;$B12,'续 '!$O$8:$O$198)+SUMIF(竣!$BI$26:$BI$130,"政府"&amp;$B12,竣!$O$26:$O$130)</f>
        <v>0</v>
      </c>
      <c r="O12" s="403">
        <f t="shared" si="5"/>
        <v>0</v>
      </c>
      <c r="P12" s="376">
        <f>COUNTIF(开!$BM$8:$BM$213,"企业"&amp;$B12)+COUNTIF('续 '!$BH$8:$BH$198,"企业"&amp;$B12)+COUNTIF(竣!$BI$26:$BI$130,"企业"&amp;$B12)</f>
        <v>26</v>
      </c>
      <c r="Q12" s="376">
        <f>SUMIF(开!$BM$8:$BM$213,"企业"&amp;$B12,开!$F$8:$F$213)+SUMIF('续 '!$BH$8:$BH$198,"企业"&amp;$B12,'续 '!$F$8:$F$198)+SUMIF(竣!$BI$26:$BI$130,"企业"&amp;$B12,竣!$F$26:$F$130)</f>
        <v>1093677</v>
      </c>
      <c r="R12" s="376">
        <f>SUMIF('续 '!$BH$8:$BH$198,"企业"&amp;$B12,'续 '!$G$8:$G$198)+SUMIF(竣!$BI$26:$BI$130,"企业"&amp;$B12,竣!$G$26:$G$130)</f>
        <v>102710</v>
      </c>
      <c r="S12" s="376">
        <f>SUMIF(开!$BM$8:$BM$213,"企业"&amp;$B12,开!$L$8:$L$213)+SUMIF('续 '!$BH$8:$BH$198,"企业"&amp;$B12,'续 '!$L$8:$L$198)+SUMIF(竣!$BI$26:$BI$130,"企业"&amp;$B12,竣!$L$26:$L$130)</f>
        <v>160817</v>
      </c>
      <c r="T12" s="403">
        <f t="shared" si="2"/>
        <v>0.556664382091701</v>
      </c>
      <c r="U12" s="376">
        <f>SUMIF(开!$BM$8:$BM$213,"企业"&amp;$B12,开!$P$8:$P$213)+SUMIF('续 '!$BH$8:$BH$198,"企业"&amp;$B12,'续 '!$O$8:$O$198)+SUMIF(竣!$BI$26:$BI$130,"企业"&amp;$B12,竣!$O$26:$O$130)</f>
        <v>0</v>
      </c>
      <c r="V12" s="403">
        <f t="shared" si="6"/>
        <v>0</v>
      </c>
    </row>
    <row r="13" s="334" customFormat="1" ht="30" customHeight="1" spans="1:22">
      <c r="A13" s="374">
        <v>5</v>
      </c>
      <c r="B13" s="375" t="s">
        <v>119</v>
      </c>
      <c r="C13" s="376">
        <f t="shared" si="7"/>
        <v>25</v>
      </c>
      <c r="D13" s="376">
        <f t="shared" si="7"/>
        <v>3300874.086</v>
      </c>
      <c r="E13" s="376">
        <f t="shared" si="7"/>
        <v>365582</v>
      </c>
      <c r="F13" s="376">
        <f t="shared" si="7"/>
        <v>444408.086</v>
      </c>
      <c r="G13" s="377">
        <f t="shared" si="8"/>
        <v>0</v>
      </c>
      <c r="H13" s="371">
        <f t="shared" si="4"/>
        <v>0</v>
      </c>
      <c r="I13" s="376">
        <f>COUNTIF(开!$BM$8:$BM$213,"政府"&amp;$B13)+COUNTIF('续 '!$BH$8:$BH$198,"政府"&amp;$B13)+COUNTIF(竣!$BI$8:$BI$130,"政府"&amp;$B13)</f>
        <v>13</v>
      </c>
      <c r="J13" s="376">
        <f>SUMIF(开!$BM$8:$BM$213,"政府"&amp;$B13,开!$F$8:$F$213)+SUMIF('续 '!$BH$8:$BH$198,"政府"&amp;$B13,'续 '!$F$8:$F$198)+SUMIF(竣!$BI$8:$BI$130,"政府"&amp;$B13,竣!$F$8:$F$130)</f>
        <v>661950.086</v>
      </c>
      <c r="K13" s="376">
        <f>SUMIF('续 '!$BH$8:$BH$198,"政府"&amp;$B13,'续 '!$G$8:$G$198)+SUMIF(竣!$BI$8:$BI$130,"政府"&amp;$B13,竣!$G$8:$G$130)</f>
        <v>242375</v>
      </c>
      <c r="L13" s="376">
        <f>SUMIF(开!$BM$8:$BM$213,"政府"&amp;$B13,开!$L$8:$L$213)+SUMIF('续 '!$BH$8:$BH$198,"政府"&amp;$B13,'续 '!$L$8:$L$198)+SUMIF(竣!$BI$8:$BI$130,"政府"&amp;$B13,竣!$L$8:$L$130)</f>
        <v>78408.086</v>
      </c>
      <c r="M13" s="403">
        <f t="shared" si="1"/>
        <v>0.176432626835687</v>
      </c>
      <c r="N13" s="376">
        <f>SUMIF(开!$BM$8:$BM$213,"政府"&amp;$B13,开!$P$8:$P$213)+SUMIF('续 '!$BH$8:$BH$198,"政府"&amp;$B13,'续 '!$O$8:$O$198)+SUMIF(竣!$BI$8:$BI$130,"政府"&amp;$B13,竣!$O$8:$O$130)</f>
        <v>0</v>
      </c>
      <c r="O13" s="403">
        <f t="shared" si="5"/>
        <v>0</v>
      </c>
      <c r="P13" s="376">
        <f>COUNTIF(开!$BM$8:$BM$213,"企业"&amp;$B13)+COUNTIF('续 '!$BH$8:$BH$198,"企业"&amp;$B13)+COUNTIF(竣!$BI$8:$BI$130,"企业"&amp;$B13)</f>
        <v>12</v>
      </c>
      <c r="Q13" s="376">
        <f>SUMIF(开!$BM$8:$BM$213,"企业"&amp;$B13,开!$F$8:$F$213)+SUMIF('续 '!$BH$8:$BH$198,"企业"&amp;$B13,'续 '!$F$8:$F$198)+SUMIF(竣!$BI$8:$BI$130,"企业"&amp;$B13,竣!$F$8:$F$130)</f>
        <v>2638924</v>
      </c>
      <c r="R13" s="376">
        <f>SUMIF('续 '!$BH$8:$BH$198,"企业"&amp;$B13,'续 '!$G$8:$G$198)+SUMIF(竣!$BI$8:$BI$130,"企业"&amp;$B13,竣!$G$8:$G$130)</f>
        <v>123207</v>
      </c>
      <c r="S13" s="376">
        <f>SUMIF(开!$BM$8:$BM$213,"企业"&amp;$B13,开!$L$8:$L$213)+SUMIF('续 '!$BH$8:$BH$198,"企业"&amp;$B13,'续 '!$L$8:$L$198)+SUMIF(竣!$BI$8:$BI$130,"企业"&amp;$B13,竣!$L$8:$L$130)</f>
        <v>366000</v>
      </c>
      <c r="T13" s="403">
        <f t="shared" si="2"/>
        <v>0.823567373164313</v>
      </c>
      <c r="U13" s="376">
        <f>SUMIF(开!$BM$8:$BM$213,"企业"&amp;$B13,开!$P$8:$P$213)+SUMIF('续 '!$BH$8:$BH$198,"企业"&amp;$B13,'续 '!$O$8:$O$198)+SUMIF(竣!$BI$8:$BI$130,"企业"&amp;$B13,竣!$O$8:$O$130)</f>
        <v>0</v>
      </c>
      <c r="V13" s="403">
        <f t="shared" si="6"/>
        <v>0</v>
      </c>
    </row>
    <row r="14" s="334" customFormat="1" ht="30" customHeight="1" spans="1:22">
      <c r="A14" s="374"/>
      <c r="B14" s="375" t="s">
        <v>2750</v>
      </c>
      <c r="C14" s="376">
        <f>C13+C23+C24+C29+C30</f>
        <v>27</v>
      </c>
      <c r="D14" s="376">
        <f t="shared" ref="D14:S14" si="9">D13+D23+D24+D29+D30</f>
        <v>3320539.086</v>
      </c>
      <c r="E14" s="376">
        <f t="shared" si="9"/>
        <v>367587</v>
      </c>
      <c r="F14" s="376">
        <f t="shared" si="9"/>
        <v>459768.086</v>
      </c>
      <c r="G14" s="377">
        <f t="shared" si="9"/>
        <v>0</v>
      </c>
      <c r="H14" s="371">
        <f t="shared" si="4"/>
        <v>0</v>
      </c>
      <c r="I14" s="376">
        <f t="shared" si="9"/>
        <v>13</v>
      </c>
      <c r="J14" s="376">
        <f t="shared" si="9"/>
        <v>661950.086</v>
      </c>
      <c r="K14" s="376">
        <f t="shared" si="9"/>
        <v>242375</v>
      </c>
      <c r="L14" s="376">
        <f t="shared" si="9"/>
        <v>78408.086</v>
      </c>
      <c r="M14" s="403">
        <f t="shared" si="1"/>
        <v>0.170538339627166</v>
      </c>
      <c r="N14" s="376">
        <f>N13+N23+N24+N29+N30</f>
        <v>0</v>
      </c>
      <c r="O14" s="403">
        <f t="shared" si="5"/>
        <v>0</v>
      </c>
      <c r="P14" s="376">
        <f t="shared" si="9"/>
        <v>14</v>
      </c>
      <c r="Q14" s="376">
        <f t="shared" si="9"/>
        <v>2658589</v>
      </c>
      <c r="R14" s="376">
        <f t="shared" si="9"/>
        <v>125212</v>
      </c>
      <c r="S14" s="376">
        <f t="shared" si="9"/>
        <v>381360</v>
      </c>
      <c r="T14" s="403">
        <f t="shared" si="2"/>
        <v>0.829461660372834</v>
      </c>
      <c r="U14" s="376">
        <f>U13+U23+U24+U29+U30</f>
        <v>0</v>
      </c>
      <c r="V14" s="403">
        <f t="shared" si="6"/>
        <v>0</v>
      </c>
    </row>
    <row r="15" s="334" customFormat="1" ht="30" customHeight="1" spans="1:22">
      <c r="A15" s="374">
        <v>6</v>
      </c>
      <c r="B15" s="375" t="s">
        <v>490</v>
      </c>
      <c r="C15" s="376">
        <f t="shared" ref="C15:F19" si="10">I15+P15</f>
        <v>2</v>
      </c>
      <c r="D15" s="376">
        <f t="shared" si="10"/>
        <v>91894</v>
      </c>
      <c r="E15" s="376">
        <f t="shared" si="10"/>
        <v>0</v>
      </c>
      <c r="F15" s="376">
        <f t="shared" si="10"/>
        <v>12200</v>
      </c>
      <c r="G15" s="377">
        <f t="shared" si="8"/>
        <v>0</v>
      </c>
      <c r="H15" s="371">
        <f t="shared" si="4"/>
        <v>0</v>
      </c>
      <c r="I15" s="376">
        <f>COUNTIF(开!$BM$8:$BM$213,"政府"&amp;$B15)+COUNTIF('续 '!$BH$8:$BH$198,"政府"&amp;$B15)+COUNTIF(竣!$BI$26:$BI$130,"政府"&amp;$B15)</f>
        <v>1</v>
      </c>
      <c r="J15" s="376">
        <f>SUMIF(开!$BM$8:$BM$213,"政府"&amp;$B15,开!$F$8:$F$213)+SUMIF('续 '!$BH$8:$BH$198,"政府"&amp;$B15,'续 '!$F$8:$F$198)+SUMIF(竣!$BI$26:$BI$130,"政府"&amp;$B15,竣!$F$26:$F$130)</f>
        <v>3894</v>
      </c>
      <c r="K15" s="376">
        <f>SUMIF('续 '!$BH$8:$BH$198,"政府"&amp;$B15,'续 '!$G$8:$G$198)+SUMIF(竣!$BI$26:$BI$130,"政府"&amp;$B15,竣!$G$26:$G$130)</f>
        <v>0</v>
      </c>
      <c r="L15" s="376">
        <f>SUMIF(开!$BM$8:$BM$213,"政府"&amp;$B15,开!$L$8:$L$213)+SUMIF('续 '!$BH$8:$BH$198,"政府"&amp;$B15,'续 '!$L$8:$L$198)+SUMIF(竣!$BI$26:$BI$130,"政府"&amp;$B15,竣!$L$26:$L$130)</f>
        <v>2200</v>
      </c>
      <c r="M15" s="403">
        <f t="shared" si="1"/>
        <v>0.180327868852459</v>
      </c>
      <c r="N15" s="376">
        <f>SUMIF(开!$BM$8:$BM$213,"政府"&amp;$B15,开!$P$8:$P$213)+SUMIF('续 '!$BH$8:$BH$198,"政府"&amp;$B15,'续 '!$O$8:$O$198)+SUMIF(竣!$BI$26:$BI$130,"政府"&amp;$B15,竣!$O$26:$O$130)</f>
        <v>0</v>
      </c>
      <c r="O15" s="403">
        <f t="shared" si="5"/>
        <v>0</v>
      </c>
      <c r="P15" s="376">
        <f>COUNTIF(开!$BM$8:$BM$213,"企业"&amp;$B15)+COUNTIF('续 '!$BH$8:$BH$198,"企业"&amp;$B15)+COUNTIF(竣!$BI$26:$BI$130,"企业"&amp;$B15)</f>
        <v>1</v>
      </c>
      <c r="Q15" s="376">
        <f>SUMIF(开!$BM$8:$BM$213,"企业"&amp;$B15,开!$F$8:$F$213)+SUMIF('续 '!$BH$8:$BH$198,"企业"&amp;$B15,'续 '!$F$8:$F$198)+SUMIF(竣!$BI$26:$BI$130,"企业"&amp;$B15,竣!$F$26:$F$130)</f>
        <v>88000</v>
      </c>
      <c r="R15" s="376">
        <f>SUMIF('续 '!$BH$8:$BH$198,"企业"&amp;$B15,'续 '!$G$8:$G$198)+SUMIF(竣!$BI$26:$BI$130,"企业"&amp;$B15,竣!$G$26:$G$130)</f>
        <v>0</v>
      </c>
      <c r="S15" s="376">
        <f>SUMIF(开!$BM$8:$BM$213,"企业"&amp;$B15,开!$L$8:$L$213)+SUMIF('续 '!$BH$8:$BH$198,"企业"&amp;$B15,'续 '!$L$8:$L$198)+SUMIF(竣!$BI$26:$BI$130,"企业"&amp;$B15,竣!$L$26:$L$130)</f>
        <v>10000</v>
      </c>
      <c r="T15" s="403">
        <f t="shared" si="2"/>
        <v>0.819672131147541</v>
      </c>
      <c r="U15" s="376">
        <f>SUMIF(开!$BM$8:$BM$213,"企业"&amp;$B15,开!$P$8:$P$213)+SUMIF('续 '!$BH$8:$BH$198,"企业"&amp;$B15,'续 '!$O$8:$O$198)+SUMIF(竣!$BI$26:$BI$130,"企业"&amp;$B15,竣!$O$26:$O$130)</f>
        <v>0</v>
      </c>
      <c r="V15" s="403">
        <f t="shared" si="6"/>
        <v>0</v>
      </c>
    </row>
    <row r="16" s="334" customFormat="1" ht="30" customHeight="1" spans="1:22">
      <c r="A16" s="374">
        <v>7</v>
      </c>
      <c r="B16" s="378" t="s">
        <v>185</v>
      </c>
      <c r="C16" s="376">
        <f t="shared" si="10"/>
        <v>52</v>
      </c>
      <c r="D16" s="376">
        <f t="shared" si="10"/>
        <v>6395797</v>
      </c>
      <c r="E16" s="379">
        <f t="shared" si="10"/>
        <v>648426</v>
      </c>
      <c r="F16" s="376">
        <f t="shared" si="10"/>
        <v>673879</v>
      </c>
      <c r="G16" s="377">
        <f t="shared" si="8"/>
        <v>0</v>
      </c>
      <c r="H16" s="371">
        <f t="shared" si="4"/>
        <v>0</v>
      </c>
      <c r="I16" s="376">
        <f>COUNTIF(开!$BM$8:$BM$213,"政府"&amp;$B16)+COUNTIF('续 '!$BH$8:$BH$198,"政府"&amp;$B16)+COUNTIF(竣!$BI$9:$BI$130,"政府"&amp;$B16)</f>
        <v>28</v>
      </c>
      <c r="J16" s="376">
        <f>SUMIF(开!$BM$8:$BM$213,"政府"&amp;$B16,开!$F$8:$F$213)+SUMIF('续 '!$BH$8:$BH$198,"政府"&amp;$B16,'续 '!$F$8:$F$198)+SUMIF(竣!$BI$9:$BI$130,"政府"&amp;$B16,竣!$F$9:$F$130)</f>
        <v>1881174</v>
      </c>
      <c r="K16" s="376">
        <f>SUMIF('续 '!$BH$8:$BH$198,"政府"&amp;$B16,'续 '!$G$8:$G$198)+SUMIF(竣!$BI$9:$BI$130,"政府"&amp;$B16,竣!$G$9:$G$130)</f>
        <v>444268</v>
      </c>
      <c r="L16" s="376">
        <f>SUMIF(开!$BM$8:$BM$213,"政府"&amp;$B16,开!$L$8:$L$213)+SUMIF('续 '!$BH$8:$BH$198,"政府"&amp;$B16,'续 '!$L$8:$L$198)+SUMIF(竣!$BI$9:$BI$130,"政府"&amp;$B16,竣!$L$9:$L$130)</f>
        <v>220160</v>
      </c>
      <c r="M16" s="403">
        <f t="shared" si="1"/>
        <v>0.326705536157085</v>
      </c>
      <c r="N16" s="376">
        <f>SUMIF(开!$BM$8:$BM$213,"政府"&amp;$B16,开!$P$8:$P$213)+SUMIF('续 '!$BH$8:$BH$198,"政府"&amp;$B16,'续 '!$O$8:$O$198)+SUMIF(竣!$BI$9:$BI$130,"政府"&amp;$B16,竣!$O$9:$O$130)</f>
        <v>0</v>
      </c>
      <c r="O16" s="403">
        <f t="shared" si="5"/>
        <v>0</v>
      </c>
      <c r="P16" s="376">
        <f>COUNTIF(开!$BM$8:$BM$213,"企业"&amp;$B16)+COUNTIF('续 '!$BH$8:$BH$198,"企业"&amp;$B16)+COUNTIF(竣!$BI$9:$BI$130,"企业"&amp;$B16)</f>
        <v>24</v>
      </c>
      <c r="Q16" s="376">
        <f>SUMIF(开!$BM$8:$BM$213,"企业"&amp;$B16,开!$F$8:$F$213)+SUMIF('续 '!$BH$8:$BH$198,"企业"&amp;$B16,'续 '!$F$8:$F$198)+SUMIF(竣!$BI$9:$BI$130,"企业"&amp;$B16,竣!$F$9:$F$130)</f>
        <v>4514623</v>
      </c>
      <c r="R16" s="376">
        <f>SUMIF('续 '!$BH$8:$BH$198,"企业"&amp;$B16,'续 '!$G$8:$G$198)+SUMIF(竣!$BI$9:$BI$130,"企业"&amp;$B16,竣!$G$9:$G$130)</f>
        <v>204158</v>
      </c>
      <c r="S16" s="376">
        <f>SUMIF(开!$BM$8:$BM$213,"企业"&amp;$B16,开!$L$8:$L$213)+SUMIF('续 '!$BH$8:$BH$198,"企业"&amp;$B16,'续 '!$L$8:$L$198)+SUMIF(竣!$BI$9:$BI$130,"企业"&amp;$B16,竣!$L$9:$L$130)</f>
        <v>453719</v>
      </c>
      <c r="T16" s="403">
        <f t="shared" si="2"/>
        <v>0.673294463842915</v>
      </c>
      <c r="U16" s="376">
        <f>SUMIF(开!$BM$8:$BM$213,"企业"&amp;$B16,开!$P$8:$P$213)+SUMIF('续 '!$BH$8:$BH$198,"企业"&amp;$B16,'续 '!$O$8:$O$198)+SUMIF(竣!$BI$9:$BI$130,"企业"&amp;$B16,竣!$O$9:$O$130)</f>
        <v>0</v>
      </c>
      <c r="V16" s="403">
        <f t="shared" si="6"/>
        <v>0</v>
      </c>
    </row>
    <row r="17" s="334" customFormat="1" ht="30" customHeight="1" spans="1:22">
      <c r="A17" s="374">
        <v>8</v>
      </c>
      <c r="B17" s="378" t="s">
        <v>166</v>
      </c>
      <c r="C17" s="376">
        <f t="shared" si="10"/>
        <v>17</v>
      </c>
      <c r="D17" s="376">
        <f t="shared" si="10"/>
        <v>275255</v>
      </c>
      <c r="E17" s="376">
        <f t="shared" si="10"/>
        <v>26924</v>
      </c>
      <c r="F17" s="376">
        <f t="shared" si="10"/>
        <v>60127</v>
      </c>
      <c r="G17" s="377">
        <f t="shared" si="8"/>
        <v>0</v>
      </c>
      <c r="H17" s="371">
        <f t="shared" si="4"/>
        <v>0</v>
      </c>
      <c r="I17" s="376">
        <f>COUNTIF(开!$BM$8:$BM$213,"政府"&amp;$B17)+COUNTIF('续 '!$BH$8:$BH$198,"政府"&amp;$B17)+COUNTIF(竣!$BI$9:$BI$130,"政府"&amp;$B17)</f>
        <v>3</v>
      </c>
      <c r="J17" s="376">
        <f>SUMIF(开!$BM$8:$BM$213,"政府"&amp;$B17,开!$F$8:$F$213)+SUMIF('续 '!$BH$8:$BH$198,"政府"&amp;$B17,'续 '!$F$8:$F$198)+SUMIF(竣!$BI$9:$BI$130,"政府"&amp;$B17,竣!$F$9:$F$130)</f>
        <v>145814</v>
      </c>
      <c r="K17" s="376">
        <f>SUMIF('续 '!$BH$8:$BH$198,"政府"&amp;$B17,'续 '!$G$8:$G$198)+SUMIF(竣!$BI$9:$BI$130,"政府"&amp;$B17,竣!$G$9:$G$130)</f>
        <v>1000</v>
      </c>
      <c r="L17" s="376">
        <f>SUMIF(开!$BM$8:$BM$213,"政府"&amp;$B17,开!$L$8:$L$213)+SUMIF('续 '!$BH$8:$BH$198,"政府"&amp;$B17,'续 '!$L$8:$L$198)+SUMIF(竣!$BI$9:$BI$130,"政府"&amp;$B17,竣!$L$9:$L$130)</f>
        <v>7000</v>
      </c>
      <c r="M17" s="403">
        <f t="shared" si="1"/>
        <v>0.116420243817253</v>
      </c>
      <c r="N17" s="376">
        <f>SUMIF(开!$BM$8:$BM$213,"政府"&amp;$B17,开!$P$8:$P$213)+SUMIF('续 '!$BH$8:$BH$198,"政府"&amp;$B17,'续 '!$O$8:$O$198)+SUMIF(竣!$BI$26:$BI$130,"政府"&amp;$B17,竣!$O$26:$O$130)</f>
        <v>0</v>
      </c>
      <c r="O17" s="403">
        <f t="shared" si="5"/>
        <v>0</v>
      </c>
      <c r="P17" s="376">
        <f>COUNTIF(开!$BM$8:$BM$213,"企业"&amp;$B17)+COUNTIF('续 '!$BH$8:$BH$198,"企业"&amp;$B17)+COUNTIF(竣!$BI$9:$BI$130,"企业"&amp;$B17)</f>
        <v>14</v>
      </c>
      <c r="Q17" s="376">
        <f>SUMIF(开!$BM$8:$BM$213,"企业"&amp;$B17,开!$F$8:$F$213)+SUMIF('续 '!$BH$8:$BH$198,"企业"&amp;$B17,'续 '!$F$8:$F$198)+SUMIF(竣!$BI$26:$BI$130,"企业"&amp;$B17,竣!$F$26:$F$130)</f>
        <v>129441</v>
      </c>
      <c r="R17" s="376">
        <f>SUMIF('续 '!$BH$8:$BH$198,"企业"&amp;$B17,'续 '!$G$8:$G$198)+SUMIF(竣!$BI$9:$BI$130,"企业"&amp;$B17,竣!$G$9:$G$130)</f>
        <v>25924</v>
      </c>
      <c r="S17" s="376">
        <f>SUMIF(开!$BM$8:$BM$213,"企业"&amp;$B17,开!$L$8:$L$213)+SUMIF('续 '!$BH$8:$BH$198,"企业"&amp;$B17,'续 '!$L$8:$L$198)+SUMIF(竣!$BI$9:$BI$130,"企业"&amp;$B17,竣!$L$9:$L$130)</f>
        <v>53127</v>
      </c>
      <c r="T17" s="403">
        <f t="shared" si="2"/>
        <v>0.883579756182747</v>
      </c>
      <c r="U17" s="376">
        <f>SUMIF(开!$BM$8:$BM$213,"企业"&amp;$B17,开!$P$8:$P$213)+SUMIF('续 '!$BH$8:$BH$198,"企业"&amp;$B17,'续 '!$O$8:$O$198)+SUMIF(竣!$BI$26:$BI$130,"企业"&amp;$B17,竣!$O$26:$O$130)</f>
        <v>0</v>
      </c>
      <c r="V17" s="403">
        <f t="shared" si="6"/>
        <v>0</v>
      </c>
    </row>
    <row r="18" s="334" customFormat="1" ht="30" customHeight="1" spans="1:22">
      <c r="A18" s="374">
        <v>9</v>
      </c>
      <c r="B18" s="380" t="s">
        <v>240</v>
      </c>
      <c r="C18" s="376">
        <f t="shared" si="10"/>
        <v>18</v>
      </c>
      <c r="D18" s="376">
        <f t="shared" si="10"/>
        <v>479010</v>
      </c>
      <c r="E18" s="379">
        <f t="shared" si="10"/>
        <v>141554</v>
      </c>
      <c r="F18" s="376">
        <f t="shared" si="10"/>
        <v>136800</v>
      </c>
      <c r="G18" s="377">
        <f t="shared" si="8"/>
        <v>0</v>
      </c>
      <c r="H18" s="371">
        <f t="shared" si="4"/>
        <v>0</v>
      </c>
      <c r="I18" s="376">
        <f>COUNTIF(开!$BM$8:$BM$213,"政府"&amp;$B18)+COUNTIF('续 '!$BH$8:$BH$198,"政府"&amp;$B18)+COUNTIF(竣!$BI$9:$BI$130,"政府"&amp;$B18)</f>
        <v>5</v>
      </c>
      <c r="J18" s="376">
        <f>SUMIF(开!$BM$8:$BM$213,"政府"&amp;$B18,开!$F$8:$F$213)+SUMIF('续 '!$BH$8:$BH$198,"政府"&amp;$B18,'续 '!$F$8:$F$198)+SUMIF(竣!$BI$9:$BI$130,"政府"&amp;$B18,竣!$F$9:$F$130)</f>
        <v>116190</v>
      </c>
      <c r="K18" s="376">
        <f>SUMIF('续 '!$BH$8:$BH$198,"政府"&amp;$B18,'续 '!$G$8:$G$198)+SUMIF(竣!$BI$9:$BI$130,"政府"&amp;$B18,竣!$G$9:$G$130)</f>
        <v>89911</v>
      </c>
      <c r="L18" s="376">
        <f>SUMIF(开!$BM$8:$BM$213,"政府"&amp;$B18,开!$L$8:$L$213)+SUMIF('续 '!$BH$8:$BH$198,"政府"&amp;$B18,'续 '!$L$8:$L$198)+SUMIF(竣!$BI$9:$BI$130,"政府"&amp;$B18,竣!$L$9:$L$130)</f>
        <v>11300</v>
      </c>
      <c r="M18" s="403">
        <f t="shared" si="1"/>
        <v>0.0826023391812866</v>
      </c>
      <c r="N18" s="376">
        <f>SUMIF(开!$BM$8:$BM$213,"政府"&amp;$B18,开!$P$8:$P$213)+SUMIF('续 '!$BH$8:$BH$198,"政府"&amp;$B18,'续 '!$O$8:$O$198)+SUMIF(竣!$BI$9:$BI$130,"政府"&amp;$B18,竣!$O$9:$O$130)</f>
        <v>0</v>
      </c>
      <c r="O18" s="403">
        <f t="shared" si="5"/>
        <v>0</v>
      </c>
      <c r="P18" s="376">
        <f>COUNTIF(开!$BM$8:$BM$213,"企业"&amp;$B18)+COUNTIF('续 '!$BH$8:$BH$198,"企业"&amp;$B18)+COUNTIF(竣!$BI$9:$BI$130,"企业"&amp;$B18)</f>
        <v>13</v>
      </c>
      <c r="Q18" s="376">
        <f>SUMIF(开!$BM$8:$BM$213,"企业"&amp;$B18,开!$F$8:$F$213)+SUMIF('续 '!$BH$8:$BH$198,"企业"&amp;$B18,'续 '!$F$8:$F$198)+SUMIF(竣!$BI$9:$BI$130,"企业"&amp;$B18,竣!$F$9:$F$130)</f>
        <v>362820</v>
      </c>
      <c r="R18" s="376">
        <f>SUMIF('续 '!$BH$8:$BH$198,"企业"&amp;$B18,'续 '!$G$8:$G$198)+SUMIF(竣!$BI$9:$BI$130,"企业"&amp;$B18,竣!$G$9:$G$130)</f>
        <v>51643</v>
      </c>
      <c r="S18" s="376">
        <f>SUMIF(开!$BM$8:$BM$213,"企业"&amp;$B18,开!$L$8:$L$213)+SUMIF('续 '!$BH$8:$BH$198,"企业"&amp;$B18,'续 '!$L$8:$L$198)+SUMIF(竣!$BI$9:$BI$130,"企业"&amp;$B18,竣!$L$9:$L$130)</f>
        <v>125500</v>
      </c>
      <c r="T18" s="403">
        <f t="shared" si="2"/>
        <v>0.917397660818713</v>
      </c>
      <c r="U18" s="376">
        <f>SUMIF(开!$BM$8:$BM$213,"企业"&amp;$B18,开!$P$8:$P$213)+SUMIF('续 '!$BH$8:$BH$198,"企业"&amp;$B18,'续 '!$O$8:$O$198)+SUMIF(竣!$BI$9:$BI$130,"企业"&amp;$B18,竣!$O$9:$O$130)</f>
        <v>0</v>
      </c>
      <c r="V18" s="403">
        <f t="shared" si="6"/>
        <v>0</v>
      </c>
    </row>
    <row r="19" s="334" customFormat="1" ht="30" customHeight="1" spans="1:22">
      <c r="A19" s="374">
        <v>10</v>
      </c>
      <c r="B19" s="378" t="s">
        <v>498</v>
      </c>
      <c r="C19" s="376">
        <f t="shared" si="10"/>
        <v>21</v>
      </c>
      <c r="D19" s="376">
        <f t="shared" si="10"/>
        <v>350344.32</v>
      </c>
      <c r="E19" s="376">
        <f t="shared" si="10"/>
        <v>77895</v>
      </c>
      <c r="F19" s="376">
        <f t="shared" si="10"/>
        <v>46230</v>
      </c>
      <c r="G19" s="377">
        <f t="shared" si="8"/>
        <v>0</v>
      </c>
      <c r="H19" s="371">
        <f t="shared" si="4"/>
        <v>0</v>
      </c>
      <c r="I19" s="376">
        <f>COUNTIF(开!$BM$8:$BM$213,"政府"&amp;$B19)+COUNTIF('续 '!$BH$8:$BH$198,"政府"&amp;$B19)+COUNTIF(竣!$BI$26:$BI$130,"政府"&amp;$B19)</f>
        <v>17</v>
      </c>
      <c r="J19" s="376">
        <f>SUMIF(开!$BM$8:$BM$213,"政府"&amp;$B19,开!$F$8:$F$213)+SUMIF('续 '!$BH$8:$BH$198,"政府"&amp;$B19,'续 '!$F$8:$F$198)+SUMIF(竣!$BI$26:$BI$130,"政府"&amp;$B19,竣!$F$26:$F$130)</f>
        <v>291760.32</v>
      </c>
      <c r="K19" s="376">
        <f>SUMIF('续 '!$BH$8:$BH$198,"政府"&amp;$B19,'续 '!$G$8:$G$198)+SUMIF(竣!$BI$26:$BI$130,"政府"&amp;$B19,竣!$G$26:$G$130)</f>
        <v>64313</v>
      </c>
      <c r="L19" s="376">
        <f>SUMIF(开!$BM$8:$BM$213,"政府"&amp;$B19,开!$L$8:$L$213)+SUMIF('续 '!$BH$8:$BH$198,"政府"&amp;$B19,'续 '!$L$8:$L$198)+SUMIF(竣!$BI$26:$BI$130,"政府"&amp;$B19,竣!$L$26:$L$130)</f>
        <v>34730</v>
      </c>
      <c r="M19" s="403">
        <f t="shared" si="1"/>
        <v>0.751243781094527</v>
      </c>
      <c r="N19" s="376">
        <f>SUMIF(开!$BM$8:$BM$213,"政府"&amp;$B19,开!$P$8:$P$213)+SUMIF('续 '!$BH$8:$BH$198,"政府"&amp;$B19,'续 '!$O$8:$O$198)+SUMIF(竣!$BI$26:$BI$130,"政府"&amp;$B19,竣!$O$26:$O$130)</f>
        <v>0</v>
      </c>
      <c r="O19" s="403">
        <f t="shared" si="5"/>
        <v>0</v>
      </c>
      <c r="P19" s="376">
        <f>COUNTIF(开!$BM$8:$BM$213,"企业"&amp;$B19)+COUNTIF('续 '!$BH$8:$BH$198,"企业"&amp;$B19)+COUNTIF(竣!$BI$26:$BI$130,"企业"&amp;$B19)</f>
        <v>4</v>
      </c>
      <c r="Q19" s="376">
        <f>SUMIF(开!$BM$8:$BM$213,"企业"&amp;$B19,开!$F$8:$F$213)+SUMIF('续 '!$BH$8:$BH$198,"企业"&amp;$B19,'续 '!$F$8:$F$198)+SUMIF(竣!$BI$26:$BI$130,"企业"&amp;$B19,竣!$F$26:$F$130)</f>
        <v>58584</v>
      </c>
      <c r="R19" s="376">
        <f>SUMIF('续 '!$BH$8:$BH$198,"企业"&amp;$B19,'续 '!$G$8:$G$198)+SUMIF(竣!$BI$26:$BI$130,"企业"&amp;$B19,竣!$G$26:$G$130)</f>
        <v>13582</v>
      </c>
      <c r="S19" s="376">
        <f>SUMIF(开!$BM$8:$BM$213,"企业"&amp;$B19,开!$L$8:$L$213)+SUMIF('续 '!$BH$8:$BH$198,"企业"&amp;$B19,'续 '!$L$8:$L$198)+SUMIF(竣!$BI$26:$BI$130,"企业"&amp;$B19,竣!$L$26:$L$130)</f>
        <v>11500</v>
      </c>
      <c r="T19" s="403">
        <f t="shared" si="2"/>
        <v>0.248756218905473</v>
      </c>
      <c r="U19" s="376">
        <f>SUMIF(开!$BM$8:$BM$213,"企业"&amp;$B19,开!$P$8:$P$213)+SUMIF('续 '!$BH$8:$BH$198,"企业"&amp;$B19,'续 '!$O$8:$O$198)+SUMIF(竣!$BI$26:$BI$130,"企业"&amp;$B19,竣!$O$26:$O$130)</f>
        <v>0</v>
      </c>
      <c r="V19" s="403">
        <f t="shared" si="6"/>
        <v>0</v>
      </c>
    </row>
    <row r="20" s="334" customFormat="1" ht="30" customHeight="1" spans="1:22">
      <c r="A20" s="374"/>
      <c r="B20" s="378" t="s">
        <v>2753</v>
      </c>
      <c r="C20" s="376">
        <f>C19+C32+C27+C28+C31</f>
        <v>28</v>
      </c>
      <c r="D20" s="376">
        <f t="shared" ref="D20:S20" si="11">D19+D32+D27+D28+D31</f>
        <v>6400198.32</v>
      </c>
      <c r="E20" s="376">
        <f t="shared" si="11"/>
        <v>247569</v>
      </c>
      <c r="F20" s="376">
        <f t="shared" si="11"/>
        <v>215599</v>
      </c>
      <c r="G20" s="377">
        <f t="shared" si="11"/>
        <v>0</v>
      </c>
      <c r="H20" s="371">
        <f t="shared" si="4"/>
        <v>0</v>
      </c>
      <c r="I20" s="376">
        <f t="shared" si="11"/>
        <v>21</v>
      </c>
      <c r="J20" s="376">
        <f t="shared" si="11"/>
        <v>761614.32</v>
      </c>
      <c r="K20" s="376">
        <f t="shared" si="11"/>
        <v>233987</v>
      </c>
      <c r="L20" s="376">
        <f t="shared" si="11"/>
        <v>114099</v>
      </c>
      <c r="M20" s="403">
        <f t="shared" si="1"/>
        <v>0.52921859563356</v>
      </c>
      <c r="N20" s="376">
        <f>N19+N32+N27+N28+N31</f>
        <v>0</v>
      </c>
      <c r="O20" s="403">
        <f t="shared" si="5"/>
        <v>0</v>
      </c>
      <c r="P20" s="376">
        <f t="shared" si="11"/>
        <v>7</v>
      </c>
      <c r="Q20" s="376">
        <f t="shared" si="11"/>
        <v>5638584</v>
      </c>
      <c r="R20" s="376">
        <f t="shared" si="11"/>
        <v>13582</v>
      </c>
      <c r="S20" s="376">
        <f t="shared" si="11"/>
        <v>101500</v>
      </c>
      <c r="T20" s="403">
        <f t="shared" si="2"/>
        <v>0.47078140436644</v>
      </c>
      <c r="U20" s="376">
        <f>U19+U32+U27+U28+U31</f>
        <v>0</v>
      </c>
      <c r="V20" s="403">
        <f t="shared" si="6"/>
        <v>0</v>
      </c>
    </row>
    <row r="21" s="334" customFormat="1" ht="30" customHeight="1" spans="1:22">
      <c r="A21" s="374">
        <v>11</v>
      </c>
      <c r="B21" s="378" t="s">
        <v>504</v>
      </c>
      <c r="C21" s="376">
        <f t="shared" ref="C21:F21" si="12">I21+P21</f>
        <v>3</v>
      </c>
      <c r="D21" s="376">
        <f t="shared" si="12"/>
        <v>350600</v>
      </c>
      <c r="E21" s="376">
        <f t="shared" si="12"/>
        <v>8016</v>
      </c>
      <c r="F21" s="376">
        <f t="shared" si="12"/>
        <v>24000</v>
      </c>
      <c r="G21" s="377">
        <f t="shared" si="8"/>
        <v>0</v>
      </c>
      <c r="H21" s="371">
        <f t="shared" si="4"/>
        <v>0</v>
      </c>
      <c r="I21" s="376">
        <f>COUNTIF(开!$BM$8:$BM$213,"政府"&amp;$B21)+COUNTIF('续 '!$BH$8:$BH$198,"政府"&amp;$B21)+COUNTIF(竣!$BI$26:$BI$130,"政府"&amp;$B21)</f>
        <v>1</v>
      </c>
      <c r="J21" s="376">
        <f>SUMIF(开!$BM$8:$BM$213,"政府"&amp;$B21,开!$F$8:$F$213)+SUMIF('续 '!$BH$8:$BH$198,"政府"&amp;$B21,'续 '!$F$8:$F$198)+SUMIF(竣!$BI$26:$BI$130,"政府"&amp;$B21,竣!$F$26:$F$130)</f>
        <v>10600</v>
      </c>
      <c r="K21" s="376">
        <f>SUMIF('续 '!$BH$8:$BH$198,"政府"&amp;$B21,'续 '!$G$8:$G$198)+SUMIF(竣!$BI$26:$BI$130,"政府"&amp;$B21,竣!$G$26:$G$130)</f>
        <v>0</v>
      </c>
      <c r="L21" s="376">
        <f>SUMIF(开!$BM$8:$BM$213,"政府"&amp;$B21,开!$L$8:$L$213)+SUMIF('续 '!$BH$8:$BH$198,"政府"&amp;$B21,'续 '!$L$8:$L$198)+SUMIF(竣!$BI$26:$BI$130,"政府"&amp;$B21,竣!$L$26:$L$130)</f>
        <v>4000</v>
      </c>
      <c r="M21" s="403">
        <f t="shared" si="1"/>
        <v>0.166666666666667</v>
      </c>
      <c r="N21" s="376">
        <f>SUMIF(开!$BM$8:$BM$213,"政府"&amp;$B21,开!$P$8:$P$213)+SUMIF('续 '!$BH$8:$BH$198,"政府"&amp;$B21,'续 '!$O$8:$O$198)+SUMIF(竣!$BI$26:$BI$130,"政府"&amp;$B21,竣!$O$26:$O$130)</f>
        <v>0</v>
      </c>
      <c r="O21" s="403">
        <f t="shared" si="5"/>
        <v>0</v>
      </c>
      <c r="P21" s="376">
        <f>COUNTIF(开!$BM$8:$BM$213,"企业"&amp;$B21)+COUNTIF('续 '!$BH$8:$BH$198,"企业"&amp;$B21)+COUNTIF(竣!$BI$26:$BI$130,"企业"&amp;$B21)</f>
        <v>2</v>
      </c>
      <c r="Q21" s="376">
        <f>SUMIF(开!$BM$8:$BM$213,"企业"&amp;$B21,开!$F$8:$F$213)+SUMIF('续 '!$BH$8:$BH$198,"企业"&amp;$B21,'续 '!$F$8:$F$198)+SUMIF(竣!$BI$26:$BI$130,"企业"&amp;$B21,竣!$F$26:$F$130)</f>
        <v>340000</v>
      </c>
      <c r="R21" s="376">
        <f>SUMIF('续 '!$BH$8:$BH$198,"企业"&amp;$B21,'续 '!$G$8:$G$198)+SUMIF(竣!$BI$26:$BI$130,"企业"&amp;$B21,竣!$G$26:$G$130)</f>
        <v>8016</v>
      </c>
      <c r="S21" s="376">
        <f>SUMIF(开!$BM$8:$BM$213,"企业"&amp;$B21,开!$L$8:$L$213)+SUMIF('续 '!$BH$8:$BH$198,"企业"&amp;$B21,'续 '!$L$8:$L$198)+SUMIF(竣!$BI$26:$BI$130,"企业"&amp;$B21,竣!$L$26:$L$130)</f>
        <v>20000</v>
      </c>
      <c r="T21" s="403">
        <f t="shared" si="2"/>
        <v>0.833333333333333</v>
      </c>
      <c r="U21" s="376">
        <f>SUMIF(开!$BM$8:$BM$213,"企业"&amp;$B21,开!$P$8:$P$213)+SUMIF('续 '!$BH$8:$BH$198,"企业"&amp;$B21,'续 '!$O$8:$O$198)+SUMIF(竣!$BI$26:$BI$130,"企业"&amp;$B21,竣!$O$26:$O$130)</f>
        <v>0</v>
      </c>
      <c r="V21" s="403">
        <f t="shared" si="6"/>
        <v>0</v>
      </c>
    </row>
    <row r="22" ht="30" customHeight="1" spans="1:22">
      <c r="A22" s="372" t="s">
        <v>560</v>
      </c>
      <c r="B22" s="373" t="s">
        <v>2754</v>
      </c>
      <c r="C22" s="368">
        <f>SUM(C23:C36)</f>
        <v>13</v>
      </c>
      <c r="D22" s="368">
        <f t="shared" ref="D22:L22" si="13">SUM(D23:D36)</f>
        <v>6222119</v>
      </c>
      <c r="E22" s="368">
        <f t="shared" si="13"/>
        <v>202239</v>
      </c>
      <c r="F22" s="368">
        <f t="shared" si="13"/>
        <v>244669</v>
      </c>
      <c r="G22" s="377">
        <f t="shared" si="13"/>
        <v>0</v>
      </c>
      <c r="H22" s="371">
        <f t="shared" si="4"/>
        <v>0</v>
      </c>
      <c r="I22" s="368">
        <f t="shared" si="13"/>
        <v>7</v>
      </c>
      <c r="J22" s="368">
        <f t="shared" si="13"/>
        <v>584354</v>
      </c>
      <c r="K22" s="368">
        <f t="shared" si="13"/>
        <v>193734</v>
      </c>
      <c r="L22" s="368">
        <f t="shared" si="13"/>
        <v>126309</v>
      </c>
      <c r="M22" s="403">
        <f t="shared" si="1"/>
        <v>0.516244395489416</v>
      </c>
      <c r="N22" s="368">
        <f t="shared" ref="N22:S22" si="14">SUM(N23:N36)</f>
        <v>0</v>
      </c>
      <c r="O22" s="403">
        <f t="shared" si="5"/>
        <v>0</v>
      </c>
      <c r="P22" s="368">
        <f t="shared" si="14"/>
        <v>6</v>
      </c>
      <c r="Q22" s="368">
        <f t="shared" si="14"/>
        <v>5637765</v>
      </c>
      <c r="R22" s="368">
        <f t="shared" si="14"/>
        <v>8505</v>
      </c>
      <c r="S22" s="368">
        <f t="shared" si="14"/>
        <v>118360</v>
      </c>
      <c r="T22" s="403">
        <f t="shared" si="2"/>
        <v>0.483755604510584</v>
      </c>
      <c r="U22" s="368">
        <f>SUM(U23:U36)</f>
        <v>0</v>
      </c>
      <c r="V22" s="403">
        <f t="shared" si="6"/>
        <v>0</v>
      </c>
    </row>
    <row r="23" s="334" customFormat="1" ht="40.15" customHeight="1" spans="1:22">
      <c r="A23" s="374">
        <v>12</v>
      </c>
      <c r="B23" s="375" t="s">
        <v>1621</v>
      </c>
      <c r="C23" s="376">
        <f t="shared" ref="C23:F23" si="15">I23+P23</f>
        <v>2</v>
      </c>
      <c r="D23" s="376">
        <f t="shared" si="15"/>
        <v>19665</v>
      </c>
      <c r="E23" s="376">
        <f t="shared" si="15"/>
        <v>2005</v>
      </c>
      <c r="F23" s="376">
        <f t="shared" si="15"/>
        <v>15360</v>
      </c>
      <c r="G23" s="377">
        <f t="shared" si="8"/>
        <v>0</v>
      </c>
      <c r="H23" s="371">
        <f t="shared" si="4"/>
        <v>0</v>
      </c>
      <c r="I23" s="376">
        <f>COUNTIF(开!$BM$8:$BM$213,"政府"&amp;$B23)+COUNTIF('续 '!$BH$8:$BH$198,"政府"&amp;$B23)+COUNTIF(竣!$BI$26:$BI$130,"政府"&amp;$B23)</f>
        <v>0</v>
      </c>
      <c r="J23" s="376">
        <f>SUMIF(开!$BM$8:$BM$213,"政府"&amp;$B23,开!$F$8:$F$213)+SUMIF('续 '!$BH$8:$BH$198,"政府"&amp;$B23,'续 '!$F$8:$F$198)+SUMIF(竣!$BI$26:$BI$130,"政府"&amp;$B23,竣!$F$26:$F$130)</f>
        <v>0</v>
      </c>
      <c r="K23" s="376">
        <f>SUMIF('续 '!$BH$8:$BH$198,"政府"&amp;$B23,'续 '!$G$8:$G$198)+SUMIF(竣!$BI$26:$BI$130,"政府"&amp;$B23,竣!$G$26:$G$130)</f>
        <v>0</v>
      </c>
      <c r="L23" s="376">
        <f>SUMIF(开!$BM$8:$BM$213,"政府"&amp;$B23,开!$L$8:$L$213)+SUMIF('续 '!$BH$8:$BH$198,"政府"&amp;$B23,'续 '!$L$8:$L$198)+SUMIF(竣!$BI$26:$BI$130,"政府"&amp;$B23,竣!$L$26:$L$130)</f>
        <v>0</v>
      </c>
      <c r="M23" s="403">
        <f t="shared" si="1"/>
        <v>0</v>
      </c>
      <c r="N23" s="376">
        <f>SUMIF(开!$BM$8:$BM$213,"政府"&amp;$B23,开!$P$8:$P$213)+SUMIF('续 '!$BH$8:$BH$198,"政府"&amp;$B23,'续 '!$O$8:$O$198)+SUMIF(竣!$BI$26:$BI$130,"政府"&amp;$B23,竣!$O$26:$O$130)</f>
        <v>0</v>
      </c>
      <c r="O23" s="403" t="e">
        <f t="shared" si="5"/>
        <v>#DIV/0!</v>
      </c>
      <c r="P23" s="376">
        <f>COUNTIF(开!$BM$8:$BM$213,"企业"&amp;$B23)+COUNTIF('续 '!$BH$8:$BH$198,"企业"&amp;$B23)+COUNTIF(竣!$BI$26:$BI$130,"企业"&amp;$B23)</f>
        <v>2</v>
      </c>
      <c r="Q23" s="376">
        <f>SUMIF(开!$BM$8:$BM$213,"企业"&amp;$B23,开!$F$8:$F$213)+SUMIF('续 '!$BH$8:$BH$198,"企业"&amp;$B23,'续 '!$F$8:$F$198)+SUMIF(竣!$BI$26:$BI$130,"企业"&amp;$B23,竣!$F$26:$F$130)</f>
        <v>19665</v>
      </c>
      <c r="R23" s="376">
        <f>SUMIF('续 '!$BH$8:$BH$198,"企业"&amp;$B23,'续 '!$G$8:$G$198)+SUMIF(竣!$BI$26:$BI$130,"企业"&amp;$B23,竣!$G$26:$G$130)</f>
        <v>2005</v>
      </c>
      <c r="S23" s="376">
        <f>SUMIF(开!$BM$8:$BM$213,"企业"&amp;$B23,开!$L$8:$L$213)+SUMIF('续 '!$BH$8:$BH$198,"企业"&amp;$B23,'续 '!$L$8:$L$198)+SUMIF(竣!$BI$26:$BI$130,"企业"&amp;$B23,竣!$L$26:$L$130)</f>
        <v>15360</v>
      </c>
      <c r="T23" s="403">
        <f t="shared" si="2"/>
        <v>1</v>
      </c>
      <c r="U23" s="376">
        <f>SUMIF(开!$BM$8:$BM$213,"企业"&amp;$B23,开!$P$8:$P$213)+SUMIF('续 '!$BH$8:$BH$198,"企业"&amp;$B23,'续 '!$O$8:$O$198)+SUMIF(竣!$BI$26:$BI$130,"企业"&amp;$B23,竣!$O$26:$O$130)</f>
        <v>0</v>
      </c>
      <c r="V23" s="403">
        <f t="shared" si="6"/>
        <v>0</v>
      </c>
    </row>
    <row r="24" s="334" customFormat="1" ht="43.9" customHeight="1" spans="1:22">
      <c r="A24" s="374"/>
      <c r="B24" s="375" t="s">
        <v>2755</v>
      </c>
      <c r="C24" s="376">
        <f t="shared" ref="C24:C57" si="16">I24+P24</f>
        <v>0</v>
      </c>
      <c r="D24" s="376">
        <f t="shared" ref="D24:D57" si="17">J24+Q24</f>
        <v>0</v>
      </c>
      <c r="E24" s="376">
        <f t="shared" ref="E24:E57" si="18">K24+R24</f>
        <v>0</v>
      </c>
      <c r="F24" s="376">
        <f t="shared" ref="F24:F57" si="19">L24+S24</f>
        <v>0</v>
      </c>
      <c r="G24" s="377">
        <f t="shared" si="8"/>
        <v>0</v>
      </c>
      <c r="H24" s="371" t="e">
        <f t="shared" si="4"/>
        <v>#DIV/0!</v>
      </c>
      <c r="I24" s="376">
        <f>COUNTIF(开!$BM$8:$BM$213,"政府"&amp;$B24)+COUNTIF('续 '!$BH$8:$BH$198,"政府"&amp;$B24)+COUNTIF(竣!$BI$26:$BI$130,"政府"&amp;$B24)</f>
        <v>0</v>
      </c>
      <c r="J24" s="376">
        <f>SUMIF(开!$BM$8:$BM$213,"政府"&amp;$B24,开!$F$8:$F$213)+SUMIF('续 '!$BH$8:$BH$198,"政府"&amp;$B24,'续 '!$F$8:$F$198)+SUMIF(竣!$BI$26:$BI$130,"政府"&amp;$B24,竣!$F$26:$F$130)</f>
        <v>0</v>
      </c>
      <c r="K24" s="376">
        <f>SUMIF('续 '!$BH$8:$BH$198,"政府"&amp;$B24,'续 '!$G$8:$G$198)+SUMIF(竣!$BI$26:$BI$130,"政府"&amp;$B24,竣!$G$26:$G$130)</f>
        <v>0</v>
      </c>
      <c r="L24" s="376">
        <f>SUMIF(开!$BM$8:$BM$213,"政府"&amp;$B24,开!$L$8:$L$213)+SUMIF('续 '!$BH$8:$BH$198,"政府"&amp;$B24,'续 '!$L$8:$L$198)+SUMIF(竣!$BI$26:$BI$130,"政府"&amp;$B24,竣!$L$26:$L$130)</f>
        <v>0</v>
      </c>
      <c r="M24" s="403" t="e">
        <f t="shared" si="1"/>
        <v>#DIV/0!</v>
      </c>
      <c r="N24" s="376">
        <f>SUMIF(开!$BM$8:$BM$213,"政府"&amp;$B24,开!$P$8:$P$213)+SUMIF('续 '!$BH$8:$BH$198,"政府"&amp;$B24,'续 '!$O$8:$O$198)+SUMIF(竣!$BI$26:$BI$130,"政府"&amp;$B24,竣!$O$26:$O$130)</f>
        <v>0</v>
      </c>
      <c r="O24" s="403" t="e">
        <f t="shared" si="5"/>
        <v>#DIV/0!</v>
      </c>
      <c r="P24" s="376">
        <f>COUNTIF(开!$BM$8:$BM$213,"企业"&amp;$B24)+COUNTIF('续 '!$BH$8:$BH$198,"企业"&amp;$B24)+COUNTIF(竣!$BI$26:$BI$130,"企业"&amp;$B24)</f>
        <v>0</v>
      </c>
      <c r="Q24" s="376">
        <f>SUMIF(开!$BM$8:$BM$213,"企业"&amp;$B24,开!$F$8:$F$213)+SUMIF('续 '!$BH$8:$BH$198,"企业"&amp;$B24,'续 '!$F$8:$F$198)+SUMIF(竣!$BI$26:$BI$130,"企业"&amp;$B24,竣!$F$26:$F$130)</f>
        <v>0</v>
      </c>
      <c r="R24" s="376">
        <f>SUMIF('续 '!$BH$8:$BH$198,"企业"&amp;$B24,'续 '!$G$8:$G$198)+SUMIF(竣!$BI$26:$BI$130,"企业"&amp;$B24,竣!$G$26:$G$130)</f>
        <v>0</v>
      </c>
      <c r="S24" s="376">
        <f>SUMIF(开!$BM$8:$BM$213,"企业"&amp;$B24,开!$L$8:$L$213)+SUMIF('续 '!$BH$8:$BH$198,"企业"&amp;$B24,'续 '!$L$8:$L$198)+SUMIF(竣!$BI$26:$BI$130,"企业"&amp;$B24,竣!$L$26:$L$130)</f>
        <v>0</v>
      </c>
      <c r="T24" s="403" t="e">
        <f t="shared" si="2"/>
        <v>#DIV/0!</v>
      </c>
      <c r="U24" s="376">
        <f>SUMIF(开!$BM$8:$BM$213,"企业"&amp;$B24,开!$P$8:$P$213)+SUMIF('续 '!$BH$8:$BH$198,"企业"&amp;$B24,'续 '!$O$8:$O$198)+SUMIF(竣!$BI$26:$BI$130,"企业"&amp;$B24,竣!$O$26:$O$130)</f>
        <v>0</v>
      </c>
      <c r="V24" s="403" t="e">
        <f t="shared" si="6"/>
        <v>#DIV/0!</v>
      </c>
    </row>
    <row r="25" s="334" customFormat="1" ht="30" customHeight="1" spans="1:22">
      <c r="A25" s="374">
        <v>13</v>
      </c>
      <c r="B25" s="375" t="s">
        <v>1144</v>
      </c>
      <c r="C25" s="376">
        <f t="shared" si="16"/>
        <v>1</v>
      </c>
      <c r="D25" s="376">
        <f t="shared" si="17"/>
        <v>86000</v>
      </c>
      <c r="E25" s="376">
        <f t="shared" si="18"/>
        <v>15000</v>
      </c>
      <c r="F25" s="376">
        <f t="shared" si="19"/>
        <v>40000</v>
      </c>
      <c r="G25" s="377">
        <f t="shared" si="8"/>
        <v>0</v>
      </c>
      <c r="H25" s="371">
        <f t="shared" si="4"/>
        <v>0</v>
      </c>
      <c r="I25" s="376">
        <f>COUNTIF(开!$BM$8:$BM$213,"政府"&amp;$B25)+COUNTIF('续 '!$BH$8:$BH$198,"政府"&amp;$B25)+COUNTIF(竣!$BI$26:$BI$130,"政府"&amp;$B25)</f>
        <v>1</v>
      </c>
      <c r="J25" s="376">
        <f>SUMIF(开!$BM$8:$BM$213,"政府"&amp;$B25,开!$F$8:$F$213)+SUMIF('续 '!$BH$8:$BH$198,"政府"&amp;$B25,'续 '!$F$8:$F$198)+SUMIF(竣!$BI$26:$BI$130,"政府"&amp;$B25,竣!$F$26:$F$130)</f>
        <v>86000</v>
      </c>
      <c r="K25" s="376">
        <f>SUMIF('续 '!$BH$8:$BH$198,"政府"&amp;$B25,'续 '!$G$8:$G$198)+SUMIF(竣!$BI$26:$BI$130,"政府"&amp;$B25,竣!$G$26:$G$130)</f>
        <v>15000</v>
      </c>
      <c r="L25" s="376">
        <f>SUMIF(开!$BM$8:$BM$213,"政府"&amp;$B25,开!$L$8:$L$213)+SUMIF('续 '!$BH$8:$BH$198,"政府"&amp;$B25,'续 '!$L$8:$L$198)+SUMIF(竣!$BI$26:$BI$130,"政府"&amp;$B25,竣!$L$26:$L$130)</f>
        <v>40000</v>
      </c>
      <c r="M25" s="403">
        <f t="shared" si="1"/>
        <v>1</v>
      </c>
      <c r="N25" s="376">
        <f>SUMIF(开!$BM$8:$BM$213,"政府"&amp;$B25,开!$P$8:$P$213)+SUMIF('续 '!$BH$8:$BH$198,"政府"&amp;$B25,'续 '!$O$8:$O$198)+SUMIF(竣!$BI$26:$BI$130,"政府"&amp;$B25,竣!$O$26:$O$130)</f>
        <v>0</v>
      </c>
      <c r="O25" s="403">
        <f t="shared" si="5"/>
        <v>0</v>
      </c>
      <c r="P25" s="376">
        <f>COUNTIF(开!$BM$8:$BM$213,"企业"&amp;$B25)+COUNTIF('续 '!$BH$8:$BH$198,"企业"&amp;$B25)+COUNTIF(竣!$BI$26:$BI$130,"企业"&amp;$B25)</f>
        <v>0</v>
      </c>
      <c r="Q25" s="376">
        <f>SUMIF(开!$BM$8:$BM$213,"企业"&amp;$B25,开!$F$8:$F$213)+SUMIF('续 '!$BH$8:$BH$198,"企业"&amp;$B25,'续 '!$F$8:$F$198)+SUMIF(竣!$BI$26:$BI$130,"企业"&amp;$B25,竣!$F$26:$F$130)</f>
        <v>0</v>
      </c>
      <c r="R25" s="376">
        <f>SUMIF('续 '!$BH$8:$BH$198,"企业"&amp;$B25,'续 '!$G$8:$G$198)+SUMIF(竣!$BI$26:$BI$130,"企业"&amp;$B25,竣!$G$26:$G$130)</f>
        <v>0</v>
      </c>
      <c r="S25" s="376">
        <f>SUMIF(开!$BM$8:$BM$213,"企业"&amp;$B25,开!$L$8:$L$213)+SUMIF('续 '!$BH$8:$BH$198,"企业"&amp;$B25,'续 '!$L$8:$L$198)+SUMIF(竣!$BI$26:$BI$130,"企业"&amp;$B25,竣!$L$26:$L$130)</f>
        <v>0</v>
      </c>
      <c r="T25" s="403">
        <f t="shared" si="2"/>
        <v>0</v>
      </c>
      <c r="U25" s="376">
        <f>SUMIF(开!$BM$8:$BM$213,"企业"&amp;$B25,开!$P$8:$P$213)+SUMIF('续 '!$BH$8:$BH$198,"企业"&amp;$B25,'续 '!$O$8:$O$198)+SUMIF(竣!$BI$26:$BI$130,"企业"&amp;$B25,竣!$O$26:$O$130)</f>
        <v>0</v>
      </c>
      <c r="V25" s="403" t="e">
        <f t="shared" si="6"/>
        <v>#DIV/0!</v>
      </c>
    </row>
    <row r="26" s="334" customFormat="1" ht="39.6" customHeight="1" spans="1:22">
      <c r="A26" s="374"/>
      <c r="B26" s="375" t="s">
        <v>2756</v>
      </c>
      <c r="C26" s="376">
        <f t="shared" si="16"/>
        <v>0</v>
      </c>
      <c r="D26" s="376">
        <f t="shared" si="17"/>
        <v>0</v>
      </c>
      <c r="E26" s="376">
        <f t="shared" si="18"/>
        <v>0</v>
      </c>
      <c r="F26" s="376">
        <f t="shared" si="19"/>
        <v>0</v>
      </c>
      <c r="G26" s="377">
        <f t="shared" si="8"/>
        <v>0</v>
      </c>
      <c r="H26" s="371" t="e">
        <f t="shared" si="4"/>
        <v>#DIV/0!</v>
      </c>
      <c r="I26" s="376">
        <f>COUNTIF(开!$BM$8:$BM$213,"政府"&amp;$B26)+COUNTIF('续 '!$BH$8:$BH$198,"政府"&amp;$B26)+COUNTIF(竣!$BI$26:$BI$130,"政府"&amp;$B26)</f>
        <v>0</v>
      </c>
      <c r="J26" s="376">
        <f>SUMIF(开!$BM$8:$BM$213,"政府"&amp;$B26,开!$F$8:$F$213)+SUMIF('续 '!$BH$8:$BH$198,"政府"&amp;$B26,'续 '!$F$8:$F$198)+SUMIF(竣!$BI$26:$BI$130,"政府"&amp;$B26,竣!$F$26:$F$130)</f>
        <v>0</v>
      </c>
      <c r="K26" s="376">
        <f>SUMIF('续 '!$BH$8:$BH$198,"政府"&amp;$B26,'续 '!$G$8:$G$198)+SUMIF(竣!$BI$26:$BI$130,"政府"&amp;$B26,竣!$G$26:$G$130)</f>
        <v>0</v>
      </c>
      <c r="L26" s="376">
        <f>SUMIF(开!$BM$8:$BM$213,"政府"&amp;$B26,开!$L$8:$L$213)+SUMIF('续 '!$BH$8:$BH$198,"政府"&amp;$B26,'续 '!$L$8:$L$198)+SUMIF(竣!$BI$26:$BI$130,"政府"&amp;$B26,竣!$L$26:$L$130)</f>
        <v>0</v>
      </c>
      <c r="M26" s="403" t="e">
        <f t="shared" si="1"/>
        <v>#DIV/0!</v>
      </c>
      <c r="N26" s="376">
        <f>SUMIF(开!$BM$8:$BM$213,"政府"&amp;$B26,开!$P$8:$P$213)+SUMIF('续 '!$BH$8:$BH$198,"政府"&amp;$B26,'续 '!$O$8:$O$198)+SUMIF(竣!$BI$26:$BI$130,"政府"&amp;$B26,竣!$O$26:$O$130)</f>
        <v>0</v>
      </c>
      <c r="O26" s="403" t="e">
        <f t="shared" si="5"/>
        <v>#DIV/0!</v>
      </c>
      <c r="P26" s="376">
        <f>COUNTIF(开!$BM$8:$BM$213,"企业"&amp;$B26)+COUNTIF('续 '!$BH$8:$BH$198,"企业"&amp;$B26)+COUNTIF(竣!$BI$26:$BI$130,"企业"&amp;$B26)</f>
        <v>0</v>
      </c>
      <c r="Q26" s="376">
        <f>SUMIF(开!$BM$8:$BM$213,"企业"&amp;$B26,开!$F$8:$F$213)+SUMIF('续 '!$BH$8:$BH$198,"企业"&amp;$B26,'续 '!$F$8:$F$198)+SUMIF(竣!$BI$26:$BI$130,"企业"&amp;$B26,竣!$F$26:$F$130)</f>
        <v>0</v>
      </c>
      <c r="R26" s="376">
        <f>SUMIF('续 '!$BH$8:$BH$198,"企业"&amp;$B26,'续 '!$G$8:$G$198)+SUMIF(竣!$BI$26:$BI$130,"企业"&amp;$B26,竣!$G$26:$G$130)</f>
        <v>0</v>
      </c>
      <c r="S26" s="376">
        <f>SUMIF(开!$BM$8:$BM$213,"企业"&amp;$B26,开!$L$8:$L$213)+SUMIF('续 '!$BH$8:$BH$198,"企业"&amp;$B26,'续 '!$L$8:$L$198)+SUMIF(竣!$BI$26:$BI$130,"企业"&amp;$B26,竣!$L$26:$L$130)</f>
        <v>0</v>
      </c>
      <c r="T26" s="403" t="e">
        <f t="shared" si="2"/>
        <v>#DIV/0!</v>
      </c>
      <c r="U26" s="376">
        <f>SUMIF(开!$BM$8:$BM$213,"企业"&amp;$B26,开!$P$8:$P$213)+SUMIF('续 '!$BH$8:$BH$198,"企业"&amp;$B26,'续 '!$O$8:$O$198)+SUMIF(竣!$BI$26:$BI$130,"企业"&amp;$B26,竣!$O$26:$O$130)</f>
        <v>0</v>
      </c>
      <c r="V26" s="403" t="e">
        <f t="shared" si="6"/>
        <v>#DIV/0!</v>
      </c>
    </row>
    <row r="27" s="334" customFormat="1" ht="36.6" customHeight="1" spans="1:22">
      <c r="A27" s="374">
        <v>14</v>
      </c>
      <c r="B27" s="375" t="s">
        <v>88</v>
      </c>
      <c r="C27" s="376">
        <f t="shared" si="16"/>
        <v>3</v>
      </c>
      <c r="D27" s="376">
        <f t="shared" si="17"/>
        <v>5580000</v>
      </c>
      <c r="E27" s="376">
        <f t="shared" si="18"/>
        <v>0</v>
      </c>
      <c r="F27" s="376">
        <f t="shared" si="19"/>
        <v>90000</v>
      </c>
      <c r="G27" s="377">
        <f t="shared" si="8"/>
        <v>0</v>
      </c>
      <c r="H27" s="371">
        <f t="shared" si="4"/>
        <v>0</v>
      </c>
      <c r="I27" s="376">
        <f>COUNTIF(开!$BM$8:$BM$213,"政府"&amp;$B27)+COUNTIF('续 '!$BH$8:$BH$198,"政府"&amp;$B27)+COUNTIF(竣!$BI$26:$BI$130,"政府"&amp;$B27)</f>
        <v>0</v>
      </c>
      <c r="J27" s="376">
        <f>SUMIF(开!$BM$8:$BM$213,"政府"&amp;$B27,开!$F$8:$F$213)+SUMIF('续 '!$BH$8:$BH$198,"政府"&amp;$B27,'续 '!$F$8:$F$198)+SUMIF(竣!$BI$26:$BI$130,"政府"&amp;$B27,竣!$F$26:$F$130)</f>
        <v>0</v>
      </c>
      <c r="K27" s="376">
        <f>SUMIF('续 '!$BH$8:$BH$198,"政府"&amp;$B27,'续 '!$G$8:$G$198)+SUMIF(竣!$BI$26:$BI$130,"政府"&amp;$B27,竣!$G$26:$G$130)</f>
        <v>0</v>
      </c>
      <c r="L27" s="376">
        <f>SUMIF(开!$BM$8:$BM$213,"政府"&amp;$B27,开!$L$8:$L$213)+SUMIF('续 '!$BH$8:$BH$198,"政府"&amp;$B27,'续 '!$L$8:$L$198)+SUMIF(竣!$BI$26:$BI$130,"政府"&amp;$B27,竣!$L$26:$L$130)</f>
        <v>0</v>
      </c>
      <c r="M27" s="403">
        <f t="shared" si="1"/>
        <v>0</v>
      </c>
      <c r="N27" s="376">
        <f>SUMIF(开!$BM$8:$BM$213,"政府"&amp;$B27,开!$P$8:$P$213)+SUMIF('续 '!$BH$8:$BH$198,"政府"&amp;$B27,'续 '!$O$8:$O$198)+SUMIF(竣!$BI$26:$BI$130,"政府"&amp;$B27,竣!$O$26:$O$130)</f>
        <v>0</v>
      </c>
      <c r="O27" s="403" t="e">
        <f t="shared" si="5"/>
        <v>#DIV/0!</v>
      </c>
      <c r="P27" s="376">
        <f>COUNTIF(开!$BM$8:$BM$213,"企业"&amp;$B27)+COUNTIF('续 '!$BH$8:$BH$198,"企业"&amp;$B27)+COUNTIF(竣!$BI$26:$BI$130,"企业"&amp;$B27)</f>
        <v>3</v>
      </c>
      <c r="Q27" s="376">
        <f>SUMIF(开!$BM$8:$BM$213,"企业"&amp;$B27,开!$F$8:$F$213)+SUMIF('续 '!$BH$8:$BH$198,"企业"&amp;$B27,'续 '!$F$8:$F$198)+SUMIF(竣!$BI$26:$BI$130,"企业"&amp;$B27,竣!$F$26:$F$130)</f>
        <v>5580000</v>
      </c>
      <c r="R27" s="376">
        <f>SUMIF('续 '!$BH$8:$BH$198,"企业"&amp;$B27,'续 '!$G$8:$G$198)+SUMIF(竣!$BI$26:$BI$130,"企业"&amp;$B27,竣!$G$26:$G$130)</f>
        <v>0</v>
      </c>
      <c r="S27" s="376">
        <f>SUMIF(开!$BM$8:$BM$213,"企业"&amp;$B27,开!$L$8:$L$213)+SUMIF('续 '!$BH$8:$BH$198,"企业"&amp;$B27,'续 '!$L$8:$L$198)+SUMIF(竣!$BI$26:$BI$130,"企业"&amp;$B27,竣!$L$26:$L$130)</f>
        <v>90000</v>
      </c>
      <c r="T27" s="403">
        <f t="shared" si="2"/>
        <v>1</v>
      </c>
      <c r="U27" s="376">
        <f>SUMIF(开!$BM$8:$BM$213,"企业"&amp;$B27,开!$P$8:$P$213)+SUMIF('续 '!$BH$8:$BH$198,"企业"&amp;$B27,'续 '!$O$8:$O$198)+SUMIF(竣!$BI$26:$BI$130,"企业"&amp;$B27,竣!$O$26:$O$130)</f>
        <v>0</v>
      </c>
      <c r="V27" s="403">
        <f t="shared" si="6"/>
        <v>0</v>
      </c>
    </row>
    <row r="28" s="334" customFormat="1" ht="42.6" customHeight="1" spans="1:22">
      <c r="A28" s="374"/>
      <c r="B28" s="375" t="s">
        <v>2757</v>
      </c>
      <c r="C28" s="376">
        <f t="shared" si="16"/>
        <v>0</v>
      </c>
      <c r="D28" s="376">
        <f t="shared" si="17"/>
        <v>0</v>
      </c>
      <c r="E28" s="376">
        <f t="shared" si="18"/>
        <v>0</v>
      </c>
      <c r="F28" s="376">
        <f t="shared" si="19"/>
        <v>0</v>
      </c>
      <c r="G28" s="377">
        <f t="shared" si="8"/>
        <v>0</v>
      </c>
      <c r="H28" s="371" t="e">
        <f t="shared" si="4"/>
        <v>#DIV/0!</v>
      </c>
      <c r="I28" s="376">
        <f>COUNTIF(开!$BM$8:$BM$213,"政府"&amp;$B28)+COUNTIF('续 '!$BH$8:$BH$198,"政府"&amp;$B28)+COUNTIF(竣!$BI$26:$BI$130,"政府"&amp;$B28)</f>
        <v>0</v>
      </c>
      <c r="J28" s="376">
        <f>SUMIF(开!$BM$8:$BM$213,"政府"&amp;$B28,开!$F$8:$F$213)+SUMIF('续 '!$BH$8:$BH$198,"政府"&amp;$B28,'续 '!$F$8:$F$198)+SUMIF(竣!$BI$26:$BI$130,"政府"&amp;$B28,竣!$F$26:$F$130)</f>
        <v>0</v>
      </c>
      <c r="K28" s="376">
        <f>SUMIF('续 '!$BH$8:$BH$198,"政府"&amp;$B28,'续 '!$G$8:$G$198)+SUMIF(竣!$BI$26:$BI$130,"政府"&amp;$B28,竣!$G$26:$G$130)</f>
        <v>0</v>
      </c>
      <c r="L28" s="376">
        <f>SUMIF(开!$BM$8:$BM$213,"政府"&amp;$B28,开!$L$8:$L$213)+SUMIF('续 '!$BH$8:$BH$198,"政府"&amp;$B28,'续 '!$L$8:$L$198)+SUMIF(竣!$BI$26:$BI$130,"政府"&amp;$B28,竣!$L$26:$L$130)</f>
        <v>0</v>
      </c>
      <c r="M28" s="403" t="e">
        <f t="shared" si="1"/>
        <v>#DIV/0!</v>
      </c>
      <c r="N28" s="376">
        <f>SUMIF(开!$BM$8:$BM$213,"政府"&amp;$B28,开!$P$8:$P$213)+SUMIF('续 '!$BH$8:$BH$198,"政府"&amp;$B28,'续 '!$O$8:$O$198)+SUMIF(竣!$BI$26:$BI$130,"政府"&amp;$B28,竣!$O$26:$O$130)</f>
        <v>0</v>
      </c>
      <c r="O28" s="403" t="e">
        <f t="shared" si="5"/>
        <v>#DIV/0!</v>
      </c>
      <c r="P28" s="376">
        <f>COUNTIF(开!$BM$8:$BM$213,"企业"&amp;$B28)+COUNTIF('续 '!$BH$8:$BH$198,"企业"&amp;$B28)+COUNTIF(竣!$BI$26:$BI$130,"企业"&amp;$B28)</f>
        <v>0</v>
      </c>
      <c r="Q28" s="376">
        <f>SUMIF(开!$BM$8:$BM$213,"企业"&amp;$B28,开!$F$8:$F$213)+SUMIF('续 '!$BH$8:$BH$198,"企业"&amp;$B28,'续 '!$F$8:$F$198)+SUMIF(竣!$BI$26:$BI$130,"企业"&amp;$B28,竣!$F$26:$F$130)</f>
        <v>0</v>
      </c>
      <c r="R28" s="376">
        <f>SUMIF('续 '!$BH$8:$BH$198,"企业"&amp;$B28,'续 '!$G$8:$G$198)+SUMIF(竣!$BI$26:$BI$130,"企业"&amp;$B28,竣!$G$26:$G$130)</f>
        <v>0</v>
      </c>
      <c r="S28" s="376">
        <f>SUMIF(开!$BM$8:$BM$213,"企业"&amp;$B28,开!$L$8:$L$213)+SUMIF('续 '!$BH$8:$BH$198,"企业"&amp;$B28,'续 '!$L$8:$L$198)+SUMIF(竣!$BI$26:$BI$130,"企业"&amp;$B28,竣!$L$26:$L$130)</f>
        <v>0</v>
      </c>
      <c r="T28" s="403" t="e">
        <f t="shared" si="2"/>
        <v>#DIV/0!</v>
      </c>
      <c r="U28" s="376">
        <f>SUMIF(开!$BM$8:$BM$213,"企业"&amp;$B28,开!$P$8:$P$213)+SUMIF('续 '!$BH$8:$BH$198,"企业"&amp;$B28,'续 '!$O$8:$O$198)+SUMIF(竣!$BI$26:$BI$130,"企业"&amp;$B28,竣!$O$26:$O$130)</f>
        <v>0</v>
      </c>
      <c r="V28" s="403" t="e">
        <f t="shared" si="6"/>
        <v>#DIV/0!</v>
      </c>
    </row>
    <row r="29" s="334" customFormat="1" ht="37.9" customHeight="1" spans="1:22">
      <c r="A29" s="374"/>
      <c r="B29" s="375" t="s">
        <v>2758</v>
      </c>
      <c r="C29" s="376">
        <f t="shared" si="16"/>
        <v>0</v>
      </c>
      <c r="D29" s="376">
        <f t="shared" si="17"/>
        <v>0</v>
      </c>
      <c r="E29" s="376">
        <f t="shared" si="18"/>
        <v>0</v>
      </c>
      <c r="F29" s="376">
        <f t="shared" si="19"/>
        <v>0</v>
      </c>
      <c r="G29" s="377">
        <f t="shared" si="8"/>
        <v>0</v>
      </c>
      <c r="H29" s="371" t="e">
        <f t="shared" si="4"/>
        <v>#DIV/0!</v>
      </c>
      <c r="I29" s="376">
        <f>COUNTIF(开!$BM$8:$BM$213,"政府"&amp;$B29)+COUNTIF('续 '!$BH$8:$BH$198,"政府"&amp;$B29)+COUNTIF(竣!$BI$26:$BI$130,"政府"&amp;$B29)</f>
        <v>0</v>
      </c>
      <c r="J29" s="376">
        <f>SUMIF(开!$BM$8:$BM$213,"政府"&amp;$B29,开!$F$8:$F$213)+SUMIF('续 '!$BH$8:$BH$198,"政府"&amp;$B29,'续 '!$F$8:$F$198)+SUMIF(竣!$BI$26:$BI$130,"政府"&amp;$B29,竣!$F$26:$F$130)</f>
        <v>0</v>
      </c>
      <c r="K29" s="376">
        <f>SUMIF('续 '!$BH$8:$BH$198,"政府"&amp;$B29,'续 '!$G$8:$G$198)+SUMIF(竣!$BI$26:$BI$130,"政府"&amp;$B29,竣!$G$26:$G$130)</f>
        <v>0</v>
      </c>
      <c r="L29" s="376">
        <f>SUMIF(开!$BM$8:$BM$213,"政府"&amp;$B29,开!$L$8:$L$213)+SUMIF('续 '!$BH$8:$BH$198,"政府"&amp;$B29,'续 '!$L$8:$L$198)+SUMIF(竣!$BI$26:$BI$130,"政府"&amp;$B29,竣!$L$26:$L$130)</f>
        <v>0</v>
      </c>
      <c r="M29" s="403" t="e">
        <f t="shared" si="1"/>
        <v>#DIV/0!</v>
      </c>
      <c r="N29" s="376">
        <f>SUMIF(开!$BM$8:$BM$213,"政府"&amp;$B29,开!$P$8:$P$213)+SUMIF('续 '!$BH$8:$BH$198,"政府"&amp;$B29,'续 '!$O$8:$O$198)+SUMIF(竣!$BI$26:$BI$130,"政府"&amp;$B29,竣!$O$26:$O$130)</f>
        <v>0</v>
      </c>
      <c r="O29" s="403" t="e">
        <f t="shared" si="5"/>
        <v>#DIV/0!</v>
      </c>
      <c r="P29" s="376">
        <f>COUNTIF(开!$BM$8:$BM$213,"企业"&amp;$B29)+COUNTIF('续 '!$BH$8:$BH$198,"企业"&amp;$B29)+COUNTIF(竣!$BI$26:$BI$130,"企业"&amp;$B29)</f>
        <v>0</v>
      </c>
      <c r="Q29" s="376">
        <f>SUMIF(开!$BM$8:$BM$213,"企业"&amp;$B29,开!$F$8:$F$213)+SUMIF('续 '!$BH$8:$BH$198,"企业"&amp;$B29,'续 '!$F$8:$F$198)+SUMIF(竣!$BI$26:$BI$130,"企业"&amp;$B29,竣!$F$26:$F$130)</f>
        <v>0</v>
      </c>
      <c r="R29" s="376">
        <f>SUMIF('续 '!$BH$8:$BH$198,"企业"&amp;$B29,'续 '!$G$8:$G$198)+SUMIF(竣!$BI$26:$BI$130,"企业"&amp;$B29,竣!$G$26:$G$130)</f>
        <v>0</v>
      </c>
      <c r="S29" s="376">
        <f>SUMIF(开!$BM$8:$BM$213,"企业"&amp;$B29,开!$L$8:$L$213)+SUMIF('续 '!$BH$8:$BH$198,"企业"&amp;$B29,'续 '!$L$8:$L$198)+SUMIF(竣!$BI$26:$BI$130,"企业"&amp;$B29,竣!$L$26:$L$130)</f>
        <v>0</v>
      </c>
      <c r="T29" s="403" t="e">
        <f t="shared" si="2"/>
        <v>#DIV/0!</v>
      </c>
      <c r="U29" s="376">
        <f>SUMIF(开!$BM$8:$BM$213,"企业"&amp;$B29,开!$P$8:$P$213)+SUMIF('续 '!$BH$8:$BH$198,"企业"&amp;$B29,'续 '!$O$8:$O$198)+SUMIF(竣!$BI$26:$BI$130,"企业"&amp;$B29,竣!$O$26:$O$130)</f>
        <v>0</v>
      </c>
      <c r="V29" s="403" t="e">
        <f t="shared" si="6"/>
        <v>#DIV/0!</v>
      </c>
    </row>
    <row r="30" s="334" customFormat="1" ht="43.9" customHeight="1" spans="1:22">
      <c r="A30" s="374"/>
      <c r="B30" s="375" t="s">
        <v>2759</v>
      </c>
      <c r="C30" s="376">
        <f t="shared" si="16"/>
        <v>0</v>
      </c>
      <c r="D30" s="376">
        <f t="shared" si="17"/>
        <v>0</v>
      </c>
      <c r="E30" s="376">
        <f t="shared" si="18"/>
        <v>0</v>
      </c>
      <c r="F30" s="376">
        <f t="shared" si="19"/>
        <v>0</v>
      </c>
      <c r="G30" s="377">
        <f t="shared" si="8"/>
        <v>0</v>
      </c>
      <c r="H30" s="371" t="e">
        <f t="shared" si="4"/>
        <v>#DIV/0!</v>
      </c>
      <c r="I30" s="376">
        <f>COUNTIF(开!$BM$8:$BM$213,"政府"&amp;$B30)+COUNTIF('续 '!$BH$8:$BH$198,"政府"&amp;$B30)+COUNTIF(竣!$BI$26:$BI$130,"政府"&amp;$B30)</f>
        <v>0</v>
      </c>
      <c r="J30" s="376">
        <f>SUMIF(开!$BM$8:$BM$213,"政府"&amp;$B30,开!$F$8:$F$213)+SUMIF('续 '!$BH$8:$BH$198,"政府"&amp;$B30,'续 '!$F$8:$F$198)+SUMIF(竣!$BI$26:$BI$130,"政府"&amp;$B30,竣!$F$26:$F$130)</f>
        <v>0</v>
      </c>
      <c r="K30" s="376">
        <f>SUMIF('续 '!$BH$8:$BH$198,"政府"&amp;$B30,'续 '!$G$8:$G$198)+SUMIF(竣!$BI$26:$BI$130,"政府"&amp;$B30,竣!$G$26:$G$130)</f>
        <v>0</v>
      </c>
      <c r="L30" s="376">
        <f>SUMIF(开!$BM$8:$BM$213,"政府"&amp;$B30,开!$L$8:$L$213)+SUMIF('续 '!$BH$8:$BH$198,"政府"&amp;$B30,'续 '!$L$8:$L$198)+SUMIF(竣!$BI$26:$BI$130,"政府"&amp;$B30,竣!$L$26:$L$130)</f>
        <v>0</v>
      </c>
      <c r="M30" s="403" t="e">
        <f t="shared" si="1"/>
        <v>#DIV/0!</v>
      </c>
      <c r="N30" s="376">
        <f>SUMIF(开!$BM$8:$BM$213,"政府"&amp;$B30,开!$P$8:$P$213)+SUMIF('续 '!$BH$8:$BH$198,"政府"&amp;$B30,'续 '!$O$8:$O$198)+SUMIF(竣!$BI$26:$BI$130,"政府"&amp;$B30,竣!$O$26:$O$130)</f>
        <v>0</v>
      </c>
      <c r="O30" s="403" t="e">
        <f t="shared" si="5"/>
        <v>#DIV/0!</v>
      </c>
      <c r="P30" s="376">
        <f>COUNTIF(开!$BM$8:$BM$213,"企业"&amp;$B30)+COUNTIF('续 '!$BH$8:$BH$198,"企业"&amp;$B30)+COUNTIF(竣!$BI$26:$BI$130,"企业"&amp;$B30)</f>
        <v>0</v>
      </c>
      <c r="Q30" s="376">
        <f>SUMIF(开!$BM$8:$BM$213,"企业"&amp;$B30,开!$F$8:$F$213)+SUMIF('续 '!$BH$8:$BH$198,"企业"&amp;$B30,'续 '!$F$8:$F$198)+SUMIF(竣!$BI$26:$BI$130,"企业"&amp;$B30,竣!$F$26:$F$130)</f>
        <v>0</v>
      </c>
      <c r="R30" s="376">
        <f>SUMIF('续 '!$BH$8:$BH$198,"企业"&amp;$B30,'续 '!$G$8:$G$198)+SUMIF(竣!$BI$26:$BI$130,"企业"&amp;$B30,竣!$G$26:$G$130)</f>
        <v>0</v>
      </c>
      <c r="S30" s="376">
        <f>SUMIF(开!$BM$8:$BM$213,"企业"&amp;$B30,开!$L$8:$L$213)+SUMIF('续 '!$BH$8:$BH$198,"企业"&amp;$B30,'续 '!$L$8:$L$198)+SUMIF(竣!$BI$26:$BI$130,"企业"&amp;$B30,竣!$L$26:$L$130)</f>
        <v>0</v>
      </c>
      <c r="T30" s="403" t="e">
        <f t="shared" si="2"/>
        <v>#DIV/0!</v>
      </c>
      <c r="U30" s="376">
        <f>SUMIF(开!$BM$8:$BM$213,"企业"&amp;$B30,开!$P$8:$P$213)+SUMIF('续 '!$BH$8:$BH$198,"企业"&amp;$B30,'续 '!$O$8:$O$198)+SUMIF(竣!$BI$26:$BI$130,"企业"&amp;$B30,竣!$O$26:$O$130)</f>
        <v>0</v>
      </c>
      <c r="V30" s="403" t="e">
        <f t="shared" si="6"/>
        <v>#DIV/0!</v>
      </c>
    </row>
    <row r="31" s="334" customFormat="1" ht="34.15" customHeight="1" spans="1:22">
      <c r="A31" s="374"/>
      <c r="B31" s="375" t="s">
        <v>2780</v>
      </c>
      <c r="C31" s="376">
        <f t="shared" si="16"/>
        <v>0</v>
      </c>
      <c r="D31" s="376">
        <f t="shared" si="17"/>
        <v>0</v>
      </c>
      <c r="E31" s="376">
        <f t="shared" si="18"/>
        <v>0</v>
      </c>
      <c r="F31" s="376">
        <f t="shared" si="19"/>
        <v>0</v>
      </c>
      <c r="G31" s="377">
        <f t="shared" si="8"/>
        <v>0</v>
      </c>
      <c r="H31" s="371" t="e">
        <f t="shared" si="4"/>
        <v>#DIV/0!</v>
      </c>
      <c r="I31" s="376">
        <f>COUNTIF(开!$BM$8:$BM$213,"政府"&amp;$B31)+COUNTIF('续 '!$BH$8:$BH$198,"政府"&amp;$B31)+COUNTIF(竣!$BI$26:$BI$130,"政府"&amp;$B31)</f>
        <v>0</v>
      </c>
      <c r="J31" s="376">
        <f>SUMIF(开!$BM$8:$BM$213,"政府"&amp;$B31,开!$F$8:$F$213)+SUMIF('续 '!$BH$8:$BH$198,"政府"&amp;$B31,'续 '!$F$8:$F$198)+SUMIF(竣!$BI$26:$BI$130,"政府"&amp;$B31,竣!$F$26:$F$130)</f>
        <v>0</v>
      </c>
      <c r="K31" s="376">
        <f>SUMIF('续 '!$BH$8:$BH$198,"政府"&amp;$B31,'续 '!$G$8:$G$198)+SUMIF(竣!$BI$26:$BI$130,"政府"&amp;$B31,竣!$G$26:$G$130)</f>
        <v>0</v>
      </c>
      <c r="L31" s="376">
        <f>SUMIF(开!$BM$8:$BM$213,"政府"&amp;$B31,开!$L$8:$L$213)+SUMIF('续 '!$BH$8:$BH$198,"政府"&amp;$B31,'续 '!$L$8:$L$198)+SUMIF(竣!$BI$26:$BI$130,"政府"&amp;$B31,竣!$L$26:$L$130)</f>
        <v>0</v>
      </c>
      <c r="M31" s="403" t="e">
        <f t="shared" si="1"/>
        <v>#DIV/0!</v>
      </c>
      <c r="N31" s="376">
        <f>SUMIF(开!$BM$8:$BM$213,"政府"&amp;$B31,开!$P$8:$P$213)+SUMIF('续 '!$BH$8:$BH$198,"政府"&amp;$B31,'续 '!$O$8:$O$198)+SUMIF(竣!$BI$26:$BI$130,"政府"&amp;$B31,竣!$O$26:$O$130)</f>
        <v>0</v>
      </c>
      <c r="O31" s="403" t="e">
        <f t="shared" si="5"/>
        <v>#DIV/0!</v>
      </c>
      <c r="P31" s="376">
        <f>COUNTIF(开!$BM$8:$BM$213,"企业"&amp;$B31)+COUNTIF('续 '!$BH$8:$BH$198,"企业"&amp;$B31)+COUNTIF(竣!$BI$26:$BI$130,"企业"&amp;$B31)</f>
        <v>0</v>
      </c>
      <c r="Q31" s="376">
        <f>SUMIF(开!$BM$8:$BM$213,"企业"&amp;$B31,开!$F$8:$F$213)+SUMIF('续 '!$BH$8:$BH$198,"企业"&amp;$B31,'续 '!$F$8:$F$198)+SUMIF(竣!$BI$26:$BI$130,"企业"&amp;$B31,竣!$F$26:$F$130)</f>
        <v>0</v>
      </c>
      <c r="R31" s="376">
        <f>SUMIF('续 '!$BH$8:$BH$198,"企业"&amp;$B31,'续 '!$G$8:$G$198)+SUMIF(竣!$BI$26:$BI$130,"企业"&amp;$B31,竣!$G$26:$G$130)</f>
        <v>0</v>
      </c>
      <c r="S31" s="376">
        <f>SUMIF(开!$BM$8:$BM$213,"企业"&amp;$B31,开!$L$8:$L$213)+SUMIF('续 '!$BH$8:$BH$198,"企业"&amp;$B31,'续 '!$L$8:$L$198)+SUMIF(竣!$BI$26:$BI$130,"企业"&amp;$B31,竣!$L$26:$L$130)</f>
        <v>0</v>
      </c>
      <c r="T31" s="403" t="e">
        <f t="shared" si="2"/>
        <v>#DIV/0!</v>
      </c>
      <c r="U31" s="376">
        <f>SUMIF(开!$BM$8:$BM$213,"企业"&amp;$B31,开!$P$8:$P$213)+SUMIF('续 '!$BH$8:$BH$198,"企业"&amp;$B31,'续 '!$O$8:$O$198)+SUMIF(竣!$BI$26:$BI$130,"企业"&amp;$B31,竣!$O$26:$O$130)</f>
        <v>0</v>
      </c>
      <c r="V31" s="403" t="e">
        <f t="shared" si="6"/>
        <v>#DIV/0!</v>
      </c>
    </row>
    <row r="32" s="334" customFormat="1" ht="42" customHeight="1" spans="1:22">
      <c r="A32" s="374">
        <v>15</v>
      </c>
      <c r="B32" s="375" t="s">
        <v>1107</v>
      </c>
      <c r="C32" s="376">
        <f t="shared" si="16"/>
        <v>4</v>
      </c>
      <c r="D32" s="376">
        <f t="shared" si="17"/>
        <v>469854</v>
      </c>
      <c r="E32" s="376">
        <f t="shared" si="18"/>
        <v>169674</v>
      </c>
      <c r="F32" s="376">
        <f t="shared" si="19"/>
        <v>79369</v>
      </c>
      <c r="G32" s="377">
        <f t="shared" si="8"/>
        <v>0</v>
      </c>
      <c r="H32" s="371">
        <f t="shared" si="4"/>
        <v>0</v>
      </c>
      <c r="I32" s="376">
        <f>COUNTIF(开!$BM$8:$BM$213,"政府"&amp;$B32)+COUNTIF('续 '!$BH$8:$BH$198,"政府"&amp;$B32)+COUNTIF(竣!$BI$26:$BI$130,"政府"&amp;$B32)</f>
        <v>4</v>
      </c>
      <c r="J32" s="376">
        <f>SUMIF(开!$BM$8:$BM$213,"政府"&amp;$B32,开!$F$8:$F$213)+SUMIF('续 '!$BH$8:$BH$198,"政府"&amp;$B32,'续 '!$F$8:$F$198)+SUMIF(竣!$BI$26:$BI$130,"政府"&amp;$B32,竣!$F$26:$F$130)</f>
        <v>469854</v>
      </c>
      <c r="K32" s="376">
        <f>SUMIF('续 '!$BH$8:$BH$198,"政府"&amp;$B32,'续 '!$G$8:$G$198)+SUMIF(竣!$BI$26:$BI$130,"政府"&amp;$B32,竣!$G$26:$G$130)</f>
        <v>169674</v>
      </c>
      <c r="L32" s="376">
        <f>SUMIF(开!$BM$8:$BM$213,"政府"&amp;$B32,开!$L$8:$L$213)+SUMIF('续 '!$BH$8:$BH$198,"政府"&amp;$B32,'续 '!$L$8:$L$198)+SUMIF(竣!$BI$26:$BI$130,"政府"&amp;$B32,竣!$L$26:$L$130)</f>
        <v>79369</v>
      </c>
      <c r="M32" s="403">
        <f t="shared" si="1"/>
        <v>1</v>
      </c>
      <c r="N32" s="376">
        <f>SUMIF(开!$BM$8:$BM$213,"政府"&amp;$B32,开!$P$8:$P$213)+SUMIF('续 '!$BH$8:$BH$198,"政府"&amp;$B32,'续 '!$O$8:$O$198)+SUMIF(竣!$BI$26:$BI$130,"政府"&amp;$B32,竣!$O$26:$O$130)</f>
        <v>0</v>
      </c>
      <c r="O32" s="403">
        <f t="shared" si="5"/>
        <v>0</v>
      </c>
      <c r="P32" s="376">
        <f>COUNTIF(开!$BM$8:$BM$213,"企业"&amp;$B32)+COUNTIF('续 '!$BH$8:$BH$198,"企业"&amp;$B32)+COUNTIF(竣!$BI$26:$BI$130,"企业"&amp;$B32)</f>
        <v>0</v>
      </c>
      <c r="Q32" s="376">
        <f>SUMIF(开!$BM$8:$BM$213,"企业"&amp;$B32,开!$F$8:$F$213)+SUMIF('续 '!$BH$8:$BH$198,"企业"&amp;$B32,'续 '!$F$8:$F$198)+SUMIF(竣!$BI$26:$BI$130,"企业"&amp;$B32,竣!$F$26:$F$130)</f>
        <v>0</v>
      </c>
      <c r="R32" s="376">
        <f>SUMIF('续 '!$BH$8:$BH$198,"企业"&amp;$B32,'续 '!$G$8:$G$198)+SUMIF(竣!$BI$26:$BI$130,"企业"&amp;$B32,竣!$G$26:$G$130)</f>
        <v>0</v>
      </c>
      <c r="S32" s="376">
        <f>SUMIF(开!$BM$8:$BM$213,"企业"&amp;$B32,开!$L$8:$L$213)+SUMIF('续 '!$BH$8:$BH$198,"企业"&amp;$B32,'续 '!$L$8:$L$198)+SUMIF(竣!$BI$26:$BI$130,"企业"&amp;$B32,竣!$L$26:$L$130)</f>
        <v>0</v>
      </c>
      <c r="T32" s="403">
        <f t="shared" si="2"/>
        <v>0</v>
      </c>
      <c r="U32" s="376">
        <f>SUMIF(开!$BM$8:$BM$213,"企业"&amp;$B32,开!$P$8:$P$213)+SUMIF('续 '!$BH$8:$BH$198,"企业"&amp;$B32,'续 '!$O$8:$O$198)+SUMIF(竣!$BI$26:$BI$130,"企业"&amp;$B32,竣!$O$26:$O$130)</f>
        <v>0</v>
      </c>
      <c r="V32" s="403" t="e">
        <f t="shared" si="6"/>
        <v>#DIV/0!</v>
      </c>
    </row>
    <row r="33" s="334" customFormat="1" ht="42" customHeight="1" spans="1:22">
      <c r="A33" s="374">
        <v>16</v>
      </c>
      <c r="B33" s="375" t="s">
        <v>1138</v>
      </c>
      <c r="C33" s="376">
        <f t="shared" ref="C33:F36" si="20">I33+P33</f>
        <v>1</v>
      </c>
      <c r="D33" s="376">
        <f t="shared" si="20"/>
        <v>17500</v>
      </c>
      <c r="E33" s="376">
        <f t="shared" si="20"/>
        <v>0</v>
      </c>
      <c r="F33" s="376">
        <f t="shared" si="20"/>
        <v>5000</v>
      </c>
      <c r="G33" s="377">
        <f t="shared" si="8"/>
        <v>0</v>
      </c>
      <c r="H33" s="371">
        <f t="shared" si="4"/>
        <v>0</v>
      </c>
      <c r="I33" s="376">
        <f>COUNTIF(开!$BM$8:$BM$213,"政府"&amp;$B33)+COUNTIF('续 '!$BH$8:$BH$198,"政府"&amp;$B33)+COUNTIF(竣!$BI$26:$BI$130,"政府"&amp;$B33)</f>
        <v>1</v>
      </c>
      <c r="J33" s="376">
        <f>SUMIF(开!$BM$8:$BM$213,"政府"&amp;$B33,开!$F$8:$F$213)+SUMIF('续 '!$BH$8:$BH$198,"政府"&amp;$B33,'续 '!$F$8:$F$198)+SUMIF(竣!$BI$26:$BI$130,"政府"&amp;$B33,竣!$F$26:$F$130)</f>
        <v>17500</v>
      </c>
      <c r="K33" s="376">
        <f>SUMIF('续 '!$BH$8:$BH$198,"政府"&amp;$B33,'续 '!$G$8:$G$198)+SUMIF(竣!$BI$26:$BI$130,"政府"&amp;$B33,竣!$G$26:$G$130)</f>
        <v>0</v>
      </c>
      <c r="L33" s="376">
        <f>SUMIF(开!$BM$8:$BM$213,"政府"&amp;$B33,开!$L$8:$L$213)+SUMIF('续 '!$BH$8:$BH$198,"政府"&amp;$B33,'续 '!$L$8:$L$198)+SUMIF(竣!$BI$26:$BI$130,"政府"&amp;$B33,竣!$L$26:$L$130)</f>
        <v>5000</v>
      </c>
      <c r="M33" s="403">
        <f t="shared" si="1"/>
        <v>1</v>
      </c>
      <c r="N33" s="376">
        <f>SUMIF(开!$BM$8:$BM$213,"政府"&amp;$B33,开!$P$8:$P$213)+SUMIF('续 '!$BH$8:$BH$198,"政府"&amp;$B33,'续 '!$O$8:$O$198)+SUMIF(竣!$BI$26:$BI$130,"政府"&amp;$B33,竣!$O$26:$O$130)</f>
        <v>0</v>
      </c>
      <c r="O33" s="403">
        <f t="shared" si="5"/>
        <v>0</v>
      </c>
      <c r="P33" s="376">
        <f>COUNTIF(开!$BM$8:$BM$213,"企业"&amp;$B33)+COUNTIF('续 '!$BH$8:$BH$198,"企业"&amp;$B33)+COUNTIF(竣!$BI$26:$BI$130,"企业"&amp;$B33)</f>
        <v>0</v>
      </c>
      <c r="Q33" s="376">
        <f>SUMIF(开!$BM$8:$BM$213,"企业"&amp;$B33,开!$F$8:$F$213)+SUMIF('续 '!$BH$8:$BH$198,"企业"&amp;$B33,'续 '!$F$8:$F$198)+SUMIF(竣!$BI$26:$BI$130,"企业"&amp;$B33,竣!$F$26:$F$130)</f>
        <v>0</v>
      </c>
      <c r="R33" s="376">
        <f>SUMIF('续 '!$BH$8:$BH$198,"企业"&amp;$B33,'续 '!$G$8:$G$198)+SUMIF(竣!$BI$26:$BI$130,"企业"&amp;$B33,竣!$G$26:$G$130)</f>
        <v>0</v>
      </c>
      <c r="S33" s="376">
        <f>SUMIF(开!$BM$8:$BM$213,"企业"&amp;$B33,开!$L$8:$L$213)+SUMIF('续 '!$BH$8:$BH$198,"企业"&amp;$B33,'续 '!$L$8:$L$198)+SUMIF(竣!$BI$26:$BI$130,"企业"&amp;$B33,竣!$L$26:$L$130)</f>
        <v>0</v>
      </c>
      <c r="T33" s="403">
        <f t="shared" si="2"/>
        <v>0</v>
      </c>
      <c r="U33" s="376">
        <f>SUMIF(开!$BM$8:$BM$213,"企业"&amp;$B33,开!$P$8:$P$213)+SUMIF('续 '!$BH$8:$BH$198,"企业"&amp;$B33,'续 '!$O$8:$O$198)+SUMIF(竣!$BI$26:$BI$130,"企业"&amp;$B33,竣!$O$26:$O$130)</f>
        <v>0</v>
      </c>
      <c r="V33" s="403" t="e">
        <f t="shared" si="6"/>
        <v>#DIV/0!</v>
      </c>
    </row>
    <row r="34" s="334" customFormat="1" ht="42" customHeight="1" spans="1:22">
      <c r="A34" s="374"/>
      <c r="B34" s="375" t="s">
        <v>2781</v>
      </c>
      <c r="C34" s="376">
        <f t="shared" si="20"/>
        <v>0</v>
      </c>
      <c r="D34" s="376">
        <f t="shared" si="20"/>
        <v>0</v>
      </c>
      <c r="E34" s="376">
        <f t="shared" si="20"/>
        <v>0</v>
      </c>
      <c r="F34" s="376">
        <f t="shared" si="20"/>
        <v>0</v>
      </c>
      <c r="G34" s="377">
        <f t="shared" si="8"/>
        <v>0</v>
      </c>
      <c r="H34" s="371" t="e">
        <f t="shared" si="4"/>
        <v>#DIV/0!</v>
      </c>
      <c r="I34" s="376">
        <f>COUNTIF(开!$BM$8:$BM$213,"政府"&amp;$B34)+COUNTIF('续 '!$BH$8:$BH$198,"政府"&amp;$B34)+COUNTIF(竣!$BI$26:$BI$130,"政府"&amp;$B34)</f>
        <v>0</v>
      </c>
      <c r="J34" s="376">
        <f>SUMIF(开!$BM$8:$BM$213,"政府"&amp;$B34,开!$F$8:$F$213)+SUMIF('续 '!$BH$8:$BH$198,"政府"&amp;$B34,'续 '!$F$8:$F$198)+SUMIF(竣!$BI$26:$BI$130,"政府"&amp;$B34,竣!$F$26:$F$130)</f>
        <v>0</v>
      </c>
      <c r="K34" s="376">
        <f>SUMIF('续 '!$BH$8:$BH$198,"政府"&amp;$B34,'续 '!$G$8:$G$198)+SUMIF(竣!$BI$26:$BI$130,"政府"&amp;$B34,竣!$G$26:$G$130)</f>
        <v>0</v>
      </c>
      <c r="L34" s="376">
        <f>SUMIF(开!$BM$8:$BM$213,"政府"&amp;$B34,开!$L$8:$L$213)+SUMIF('续 '!$BH$8:$BH$198,"政府"&amp;$B34,'续 '!$L$8:$L$198)+SUMIF(竣!$BI$26:$BI$130,"政府"&amp;$B34,竣!$L$26:$L$130)</f>
        <v>0</v>
      </c>
      <c r="M34" s="403" t="e">
        <f t="shared" si="1"/>
        <v>#DIV/0!</v>
      </c>
      <c r="N34" s="376">
        <f>SUMIF(开!$BM$8:$BM$213,"政府"&amp;$B34,开!$P$8:$P$213)+SUMIF('续 '!$BH$8:$BH$198,"政府"&amp;$B34,'续 '!$O$8:$O$198)+SUMIF(竣!$BI$26:$BI$130,"政府"&amp;$B34,竣!$O$26:$O$130)</f>
        <v>0</v>
      </c>
      <c r="O34" s="403" t="e">
        <f t="shared" si="5"/>
        <v>#DIV/0!</v>
      </c>
      <c r="P34" s="376">
        <f>COUNTIF(开!$BM$8:$BM$213,"企业"&amp;$B34)+COUNTIF('续 '!$BH$8:$BH$198,"企业"&amp;$B34)+COUNTIF(竣!$BI$26:$BI$130,"企业"&amp;$B34)</f>
        <v>0</v>
      </c>
      <c r="Q34" s="376">
        <f>SUMIF(开!$BM$8:$BM$213,"企业"&amp;$B34,开!$F$8:$F$213)+SUMIF('续 '!$BH$8:$BH$198,"企业"&amp;$B34,'续 '!$F$8:$F$198)+SUMIF(竣!$BI$26:$BI$130,"企业"&amp;$B34,竣!$F$26:$F$130)</f>
        <v>0</v>
      </c>
      <c r="R34" s="376">
        <f>SUMIF('续 '!$BH$8:$BH$198,"企业"&amp;$B34,'续 '!$G$8:$G$198)+SUMIF(竣!$BI$26:$BI$130,"企业"&amp;$B34,竣!$G$26:$G$130)</f>
        <v>0</v>
      </c>
      <c r="S34" s="376">
        <f>SUMIF(开!$BM$8:$BM$213,"企业"&amp;$B34,开!$L$8:$L$213)+SUMIF('续 '!$BH$8:$BH$198,"企业"&amp;$B34,'续 '!$L$8:$L$198)+SUMIF(竣!$BI$26:$BI$130,"企业"&amp;$B34,竣!$L$26:$L$130)</f>
        <v>0</v>
      </c>
      <c r="T34" s="403" t="e">
        <f t="shared" si="2"/>
        <v>#DIV/0!</v>
      </c>
      <c r="U34" s="376">
        <f>SUMIF(开!$BM$8:$BM$213,"企业"&amp;$B34,开!$P$8:$P$213)+SUMIF('续 '!$BH$8:$BH$198,"企业"&amp;$B34,'续 '!$O$8:$O$198)+SUMIF(竣!$BI$26:$BI$130,"企业"&amp;$B34,竣!$O$26:$O$130)</f>
        <v>0</v>
      </c>
      <c r="V34" s="403" t="e">
        <f t="shared" si="6"/>
        <v>#DIV/0!</v>
      </c>
    </row>
    <row r="35" s="334" customFormat="1" ht="42" customHeight="1" spans="1:22">
      <c r="A35" s="374">
        <v>17</v>
      </c>
      <c r="B35" s="375" t="s">
        <v>1843</v>
      </c>
      <c r="C35" s="376">
        <f t="shared" si="20"/>
        <v>1</v>
      </c>
      <c r="D35" s="376">
        <f t="shared" si="20"/>
        <v>38100</v>
      </c>
      <c r="E35" s="376">
        <f t="shared" si="20"/>
        <v>6500</v>
      </c>
      <c r="F35" s="376">
        <f t="shared" si="20"/>
        <v>13000</v>
      </c>
      <c r="G35" s="377">
        <f t="shared" si="8"/>
        <v>0</v>
      </c>
      <c r="H35" s="371">
        <f t="shared" si="4"/>
        <v>0</v>
      </c>
      <c r="I35" s="376">
        <f>COUNTIF(开!$BM$8:$BM$213,"政府"&amp;$B35)+COUNTIF('续 '!$BH$8:$BH$198,"政府"&amp;$B35)+COUNTIF(竣!$BI$26:$BI$130,"政府"&amp;$B35)</f>
        <v>0</v>
      </c>
      <c r="J35" s="376">
        <f>SUMIF(开!$BM$8:$BM$213,"政府"&amp;$B35,开!$F$8:$F$213)+SUMIF('续 '!$BH$8:$BH$198,"政府"&amp;$B35,'续 '!$F$8:$F$198)+SUMIF(竣!$BI$26:$BI$130,"政府"&amp;$B35,竣!$F$26:$F$130)</f>
        <v>0</v>
      </c>
      <c r="K35" s="376">
        <f>SUMIF('续 '!$BH$8:$BH$198,"政府"&amp;$B35,'续 '!$G$8:$G$198)+SUMIF(竣!$BI$26:$BI$130,"政府"&amp;$B35,竣!$G$26:$G$130)</f>
        <v>0</v>
      </c>
      <c r="L35" s="376">
        <f>SUMIF(开!$BM$8:$BM$213,"政府"&amp;$B35,开!$L$8:$L$213)+SUMIF('续 '!$BH$8:$BH$198,"政府"&amp;$B35,'续 '!$L$8:$L$198)+SUMIF(竣!$BI$26:$BI$130,"政府"&amp;$B35,竣!$L$26:$L$130)</f>
        <v>0</v>
      </c>
      <c r="M35" s="403">
        <f t="shared" si="1"/>
        <v>0</v>
      </c>
      <c r="N35" s="376">
        <f>SUMIF(开!$BM$8:$BM$213,"政府"&amp;$B35,开!$P$8:$P$213)+SUMIF('续 '!$BH$8:$BH$198,"政府"&amp;$B35,'续 '!$O$8:$O$198)+SUMIF(竣!$BI$26:$BI$130,"政府"&amp;$B35,竣!$O$26:$O$130)</f>
        <v>0</v>
      </c>
      <c r="O35" s="403" t="e">
        <f t="shared" si="5"/>
        <v>#DIV/0!</v>
      </c>
      <c r="P35" s="376">
        <f>COUNTIF(开!$BM$8:$BM$213,"企业"&amp;$B35)+COUNTIF('续 '!$BH$8:$BH$198,"企业"&amp;$B35)+COUNTIF(竣!$BI$26:$BI$130,"企业"&amp;$B35)</f>
        <v>1</v>
      </c>
      <c r="Q35" s="376">
        <f>SUMIF(开!$BM$8:$BM$213,"企业"&amp;$B35,开!$F$8:$F$213)+SUMIF('续 '!$BH$8:$BH$198,"企业"&amp;$B35,'续 '!$F$8:$F$198)+SUMIF(竣!$BI$26:$BI$130,"企业"&amp;$B35,竣!$F$26:$F$130)</f>
        <v>38100</v>
      </c>
      <c r="R35" s="376">
        <f>SUMIF('续 '!$BH$8:$BH$198,"企业"&amp;$B35,'续 '!$G$8:$G$198)+SUMIF(竣!$BI$26:$BI$130,"企业"&amp;$B35,竣!$G$26:$G$130)</f>
        <v>6500</v>
      </c>
      <c r="S35" s="376">
        <f>SUMIF(开!$BM$8:$BM$213,"企业"&amp;$B35,开!$L$8:$L$213)+SUMIF('续 '!$BH$8:$BH$198,"企业"&amp;$B35,'续 '!$L$8:$L$198)+SUMIF(竣!$BI$26:$BI$130,"企业"&amp;$B35,竣!$L$26:$L$130)</f>
        <v>13000</v>
      </c>
      <c r="T35" s="403">
        <f t="shared" si="2"/>
        <v>1</v>
      </c>
      <c r="U35" s="376">
        <f>SUMIF(开!$BM$8:$BM$213,"企业"&amp;$B35,开!$P$8:$P$213)+SUMIF('续 '!$BH$8:$BH$198,"企业"&amp;$B35,'续 '!$O$8:$O$198)+SUMIF(竣!$BI$26:$BI$130,"企业"&amp;$B35,竣!$O$26:$O$130)</f>
        <v>0</v>
      </c>
      <c r="V35" s="403">
        <f t="shared" si="6"/>
        <v>0</v>
      </c>
    </row>
    <row r="36" s="334" customFormat="1" ht="42" customHeight="1" spans="1:22">
      <c r="A36" s="374">
        <v>18</v>
      </c>
      <c r="B36" s="375" t="s">
        <v>1759</v>
      </c>
      <c r="C36" s="376">
        <f t="shared" si="20"/>
        <v>1</v>
      </c>
      <c r="D36" s="376">
        <f t="shared" si="20"/>
        <v>11000</v>
      </c>
      <c r="E36" s="376">
        <f t="shared" si="20"/>
        <v>9060</v>
      </c>
      <c r="F36" s="376">
        <f t="shared" si="20"/>
        <v>1940</v>
      </c>
      <c r="G36" s="377">
        <f t="shared" si="8"/>
        <v>0</v>
      </c>
      <c r="H36" s="371">
        <f t="shared" si="4"/>
        <v>0</v>
      </c>
      <c r="I36" s="376">
        <f>COUNTIF(开!$BM$8:$BM$213,"政府"&amp;$B36)+COUNTIF('续 '!$BH$8:$BH$198,"政府"&amp;$B36)+COUNTIF(竣!$BI$26:$BI$130,"政府"&amp;$B36)</f>
        <v>1</v>
      </c>
      <c r="J36" s="376">
        <f>SUMIF(开!$BM$8:$BM$213,"政府"&amp;$B36,开!$F$8:$F$213)+SUMIF('续 '!$BH$8:$BH$198,"政府"&amp;$B36,'续 '!$F$8:$F$198)+SUMIF(竣!$BI$26:$BI$130,"政府"&amp;$B36,竣!$F$26:$F$130)</f>
        <v>11000</v>
      </c>
      <c r="K36" s="376">
        <f>SUMIF('续 '!$BH$8:$BH$198,"政府"&amp;$B36,'续 '!$G$8:$G$198)+SUMIF(竣!$BI$26:$BI$130,"政府"&amp;$B36,竣!$G$26:$G$130)</f>
        <v>9060</v>
      </c>
      <c r="L36" s="376">
        <f>SUMIF(开!$BM$8:$BM$213,"政府"&amp;$B36,开!$L$8:$L$213)+SUMIF('续 '!$BH$8:$BH$198,"政府"&amp;$B36,'续 '!$L$8:$L$198)+SUMIF(竣!$BI$26:$BI$130,"政府"&amp;$B36,竣!$L$26:$L$130)</f>
        <v>1940</v>
      </c>
      <c r="M36" s="403">
        <f t="shared" si="1"/>
        <v>1</v>
      </c>
      <c r="N36" s="376">
        <f>SUMIF(开!$BM$8:$BM$213,"政府"&amp;$B36,开!$P$8:$P$213)+SUMIF('续 '!$BH$8:$BH$198,"政府"&amp;$B36,'续 '!$O$8:$O$198)+SUMIF(竣!$BI$26:$BI$130,"政府"&amp;$B36,竣!$O$26:$O$130)</f>
        <v>0</v>
      </c>
      <c r="O36" s="403">
        <f t="shared" si="5"/>
        <v>0</v>
      </c>
      <c r="P36" s="376">
        <f>COUNTIF(开!$BM$8:$BM$213,"企业"&amp;$B36)+COUNTIF('续 '!$BH$8:$BH$198,"企业"&amp;$B36)+COUNTIF(竣!$BI$26:$BI$130,"企业"&amp;$B36)</f>
        <v>0</v>
      </c>
      <c r="Q36" s="376">
        <f>SUMIF(开!$BM$8:$BM$213,"企业"&amp;$B36,开!$F$8:$F$213)+SUMIF('续 '!$BH$8:$BH$198,"企业"&amp;$B36,'续 '!$F$8:$F$198)+SUMIF(竣!$BI$26:$BI$130,"企业"&amp;$B36,竣!$F$26:$F$130)</f>
        <v>0</v>
      </c>
      <c r="R36" s="376">
        <f>SUMIF('续 '!$BH$8:$BH$198,"企业"&amp;$B36,'续 '!$G$8:$G$198)+SUMIF(竣!$BI$26:$BI$130,"企业"&amp;$B36,竣!$G$26:$G$130)</f>
        <v>0</v>
      </c>
      <c r="S36" s="376">
        <f>SUMIF(开!$BM$8:$BM$213,"企业"&amp;$B36,开!$L$8:$L$213)+SUMIF('续 '!$BH$8:$BH$198,"企业"&amp;$B36,'续 '!$L$8:$L$198)+SUMIF(竣!$BI$26:$BI$130,"企业"&amp;$B36,竣!$L$26:$L$130)</f>
        <v>0</v>
      </c>
      <c r="T36" s="403">
        <f t="shared" si="2"/>
        <v>0</v>
      </c>
      <c r="U36" s="376">
        <f>SUMIF(开!$BM$8:$BM$213,"企业"&amp;$B36,开!$P$8:$P$213)+SUMIF('续 '!$BH$8:$BH$198,"企业"&amp;$B36,'续 '!$O$8:$O$198)+SUMIF(竣!$BI$26:$BI$130,"企业"&amp;$B36,竣!$O$26:$O$130)</f>
        <v>0</v>
      </c>
      <c r="V36" s="403" t="e">
        <f t="shared" si="6"/>
        <v>#DIV/0!</v>
      </c>
    </row>
    <row r="37" ht="30" customHeight="1" spans="1:22">
      <c r="A37" s="372" t="s">
        <v>808</v>
      </c>
      <c r="B37" s="373" t="s">
        <v>2760</v>
      </c>
      <c r="C37" s="376">
        <f t="shared" ref="C37:F37" si="21">I37+P37</f>
        <v>39</v>
      </c>
      <c r="D37" s="376">
        <f t="shared" si="21"/>
        <v>2816650.53</v>
      </c>
      <c r="E37" s="376">
        <f t="shared" si="21"/>
        <v>755122.4</v>
      </c>
      <c r="F37" s="376">
        <f t="shared" si="21"/>
        <v>609790</v>
      </c>
      <c r="G37" s="377">
        <f>SUM(G38:G57)</f>
        <v>0</v>
      </c>
      <c r="H37" s="371">
        <f t="shared" si="4"/>
        <v>0</v>
      </c>
      <c r="I37" s="368">
        <f>SUM(I38:I60)-I42</f>
        <v>37</v>
      </c>
      <c r="J37" s="368">
        <f t="shared" ref="J37:V37" si="22">SUM(J38:J60)-J42</f>
        <v>2703687.53</v>
      </c>
      <c r="K37" s="368">
        <f t="shared" si="22"/>
        <v>705631.4</v>
      </c>
      <c r="L37" s="368">
        <f t="shared" si="22"/>
        <v>584790</v>
      </c>
      <c r="M37" s="368" t="e">
        <f t="shared" si="22"/>
        <v>#DIV/0!</v>
      </c>
      <c r="N37" s="368">
        <f t="shared" si="22"/>
        <v>0</v>
      </c>
      <c r="O37" s="368" t="e">
        <f t="shared" si="22"/>
        <v>#DIV/0!</v>
      </c>
      <c r="P37" s="368">
        <f t="shared" si="22"/>
        <v>2</v>
      </c>
      <c r="Q37" s="368">
        <f t="shared" si="22"/>
        <v>112963</v>
      </c>
      <c r="R37" s="368">
        <f t="shared" si="22"/>
        <v>49491</v>
      </c>
      <c r="S37" s="368">
        <f t="shared" si="22"/>
        <v>25000</v>
      </c>
      <c r="T37" s="368" t="e">
        <f t="shared" si="22"/>
        <v>#DIV/0!</v>
      </c>
      <c r="U37" s="368">
        <f t="shared" si="22"/>
        <v>0</v>
      </c>
      <c r="V37" s="368" t="e">
        <f t="shared" si="22"/>
        <v>#DIV/0!</v>
      </c>
    </row>
    <row r="38" s="334" customFormat="1" ht="30" customHeight="1" spans="1:22">
      <c r="A38" s="374">
        <v>19</v>
      </c>
      <c r="B38" s="375" t="s">
        <v>456</v>
      </c>
      <c r="C38" s="376">
        <f t="shared" si="16"/>
        <v>1</v>
      </c>
      <c r="D38" s="376">
        <f t="shared" si="17"/>
        <v>45537</v>
      </c>
      <c r="E38" s="376">
        <f t="shared" si="18"/>
        <v>0</v>
      </c>
      <c r="F38" s="376">
        <f t="shared" si="19"/>
        <v>10000</v>
      </c>
      <c r="G38" s="377">
        <f t="shared" si="8"/>
        <v>0</v>
      </c>
      <c r="H38" s="371">
        <f t="shared" si="4"/>
        <v>0</v>
      </c>
      <c r="I38" s="376">
        <f>COUNTIF(开!$BM$8:$BM$213,"政府"&amp;$B38)+COUNTIF('续 '!$BH$8:$BH$198,"政府"&amp;$B38)+COUNTIF(竣!$BI$26:$BI$130,"政府"&amp;$B38)</f>
        <v>1</v>
      </c>
      <c r="J38" s="376">
        <f>SUMIF(开!$BM$8:$BM$213,"政府"&amp;$B38,开!$F$8:$F$213)+SUMIF('续 '!$BH$8:$BH$198,"政府"&amp;$B38,'续 '!$F$8:$F$198)+SUMIF(竣!$BI$26:$BI$130,"政府"&amp;$B38,竣!$F$26:$F$130)</f>
        <v>45537</v>
      </c>
      <c r="K38" s="376">
        <f>SUMIF('续 '!$BH$8:$BH$198,"政府"&amp;$B38,'续 '!$G$8:$G$198)+SUMIF(竣!$BI$26:$BI$130,"政府"&amp;$B38,竣!$G$26:$G$130)</f>
        <v>0</v>
      </c>
      <c r="L38" s="376">
        <f>SUMIF(开!$BM$8:$BM$213,"政府"&amp;$B38,开!$L$8:$L$213)+SUMIF('续 '!$BH$8:$BH$198,"政府"&amp;$B38,'续 '!$L$8:$L$198)+SUMIF(竣!$BI$26:$BI$130,"政府"&amp;$B38,竣!$L$26:$L$130)</f>
        <v>10000</v>
      </c>
      <c r="M38" s="403">
        <f t="shared" si="1"/>
        <v>1</v>
      </c>
      <c r="N38" s="376">
        <f>SUMIF(开!$BM$8:$BM$213,"政府"&amp;$B38,开!$P$8:$P$213)+SUMIF('续 '!$BH$8:$BH$198,"政府"&amp;$B38,'续 '!$O$8:$O$198)+SUMIF(竣!$BI$26:$BI$130,"政府"&amp;$B38,竣!$O$26:$O$130)</f>
        <v>0</v>
      </c>
      <c r="O38" s="403">
        <f t="shared" si="5"/>
        <v>0</v>
      </c>
      <c r="P38" s="376">
        <f>COUNTIF(开!$BM$8:$BM$213,"企业"&amp;$B38)+COUNTIF('续 '!$BH$8:$BH$198,"企业"&amp;$B38)+COUNTIF(竣!$BI$26:$BI$130,"企业"&amp;$B38)</f>
        <v>0</v>
      </c>
      <c r="Q38" s="376">
        <f>SUMIF(开!$BM$8:$BM$213,"企业"&amp;$B38,开!$F$8:$F$213)+SUMIF('续 '!$BH$8:$BH$198,"企业"&amp;$B38,'续 '!$F$8:$F$198)+SUMIF(竣!$BI$26:$BI$130,"企业"&amp;$B38,竣!$F$26:$F$130)</f>
        <v>0</v>
      </c>
      <c r="R38" s="376">
        <f>SUMIF('续 '!$BH$8:$BH$198,"企业"&amp;$B38,'续 '!$G$8:$G$198)+SUMIF(竣!$BI$26:$BI$130,"企业"&amp;$B38,竣!$G$26:$G$130)</f>
        <v>0</v>
      </c>
      <c r="S38" s="376">
        <f>SUMIF(开!$BM$8:$BM$213,"企业"&amp;$B38,开!$L$8:$L$213)+SUMIF('续 '!$BH$8:$BH$198,"企业"&amp;$B38,'续 '!$L$8:$L$198)+SUMIF(竣!$BI$26:$BI$130,"企业"&amp;$B38,竣!$L$26:$L$130)</f>
        <v>0</v>
      </c>
      <c r="T38" s="403">
        <f t="shared" si="2"/>
        <v>0</v>
      </c>
      <c r="U38" s="376">
        <f>SUMIF(开!$BM$8:$BM$213,"企业"&amp;$B38,开!$P$8:$P$213)+SUMIF('续 '!$BH$8:$BH$198,"企业"&amp;$B38,'续 '!$O$8:$O$198)+SUMIF(竣!$BI$26:$BI$130,"企业"&amp;$B38,竣!$O$26:$O$130)</f>
        <v>0</v>
      </c>
      <c r="V38" s="403" t="e">
        <f t="shared" si="6"/>
        <v>#DIV/0!</v>
      </c>
    </row>
    <row r="39" s="334" customFormat="1" ht="30" customHeight="1" spans="1:22">
      <c r="A39" s="374">
        <v>20</v>
      </c>
      <c r="B39" s="375" t="s">
        <v>950</v>
      </c>
      <c r="C39" s="376">
        <f t="shared" si="16"/>
        <v>10</v>
      </c>
      <c r="D39" s="376">
        <f t="shared" si="17"/>
        <v>2240368.7</v>
      </c>
      <c r="E39" s="376">
        <f t="shared" si="18"/>
        <v>561037.4</v>
      </c>
      <c r="F39" s="376">
        <f t="shared" si="19"/>
        <v>460657</v>
      </c>
      <c r="G39" s="377">
        <f t="shared" si="8"/>
        <v>0</v>
      </c>
      <c r="H39" s="371">
        <f t="shared" si="4"/>
        <v>0</v>
      </c>
      <c r="I39" s="376">
        <f>COUNTIF(开!$BM$8:$BM$213,"政府"&amp;$B39)+COUNTIF('续 '!$BH$8:$BH$198,"政府"&amp;$B39)+COUNTIF(竣!$BI$26:$BI$130,"政府"&amp;$B39)</f>
        <v>10</v>
      </c>
      <c r="J39" s="376">
        <f>SUMIF(开!$BM$8:$BM$213,"政府"&amp;$B39,开!$F$8:$F$213)+SUMIF('续 '!$BH$8:$BH$198,"政府"&amp;$B39,'续 '!$F$8:$F$198)+SUMIF(竣!$BI$26:$BI$130,"政府"&amp;$B39,竣!$F$26:$F$130)</f>
        <v>2240368.7</v>
      </c>
      <c r="K39" s="376">
        <f>SUMIF('续 '!$BH$8:$BH$198,"政府"&amp;$B39,'续 '!$G$8:$G$198)+SUMIF(竣!$BI$26:$BI$130,"政府"&amp;$B39,竣!$G$26:$G$130)</f>
        <v>561037.4</v>
      </c>
      <c r="L39" s="376">
        <f>SUMIF(开!$BM$8:$BM$213,"政府"&amp;$B39,开!$L$8:$L$213)+SUMIF('续 '!$BH$8:$BH$198,"政府"&amp;$B39,'续 '!$L$8:$L$198)+SUMIF(竣!$BI$26:$BI$130,"政府"&amp;$B39,竣!$L$26:$L$130)</f>
        <v>460657</v>
      </c>
      <c r="M39" s="403">
        <f t="shared" si="1"/>
        <v>1</v>
      </c>
      <c r="N39" s="376">
        <f>SUMIF(开!$BM$8:$BM$213,"政府"&amp;$B39,开!$P$8:$P$213)+SUMIF('续 '!$BH$8:$BH$198,"政府"&amp;$B39,'续 '!$O$8:$O$198)+SUMIF(竣!$BI$26:$BI$130,"政府"&amp;$B39,竣!$O$26:$O$130)</f>
        <v>0</v>
      </c>
      <c r="O39" s="403">
        <f t="shared" si="5"/>
        <v>0</v>
      </c>
      <c r="P39" s="376">
        <f>COUNTIF(开!$BM$8:$BM$213,"企业"&amp;$B39)+COUNTIF('续 '!$BH$8:$BH$198,"企业"&amp;$B39)+COUNTIF(竣!$BI$26:$BI$130,"企业"&amp;$B39)</f>
        <v>0</v>
      </c>
      <c r="Q39" s="376">
        <f>SUMIF(开!$BM$8:$BM$213,"企业"&amp;$B39,开!$F$8:$F$213)+SUMIF('续 '!$BH$8:$BH$198,"企业"&amp;$B39,'续 '!$F$8:$F$198)+SUMIF(竣!$BI$26:$BI$130,"企业"&amp;$B39,竣!$F$26:$F$130)</f>
        <v>0</v>
      </c>
      <c r="R39" s="376">
        <f>SUMIF('续 '!$BH$8:$BH$198,"企业"&amp;$B39,'续 '!$G$8:$G$198)+SUMIF(竣!$BI$26:$BI$130,"企业"&amp;$B39,竣!$G$26:$G$130)</f>
        <v>0</v>
      </c>
      <c r="S39" s="376">
        <f>SUMIF(开!$BM$8:$BM$213,"企业"&amp;$B39,开!$L$8:$L$213)+SUMIF('续 '!$BH$8:$BH$198,"企业"&amp;$B39,'续 '!$L$8:$L$198)+SUMIF(竣!$BI$26:$BI$130,"企业"&amp;$B39,竣!$L$26:$L$130)</f>
        <v>0</v>
      </c>
      <c r="T39" s="403">
        <f t="shared" si="2"/>
        <v>0</v>
      </c>
      <c r="U39" s="376">
        <f>SUMIF(开!$BM$8:$BM$213,"企业"&amp;$B39,开!$P$8:$P$213)+SUMIF('续 '!$BH$8:$BH$198,"企业"&amp;$B39,'续 '!$O$8:$O$198)+SUMIF(竣!$BI$26:$BI$130,"企业"&amp;$B39,竣!$O$26:$O$130)</f>
        <v>0</v>
      </c>
      <c r="V39" s="403" t="e">
        <f t="shared" si="6"/>
        <v>#DIV/0!</v>
      </c>
    </row>
    <row r="40" s="334" customFormat="1" ht="45" customHeight="1" spans="1:22">
      <c r="A40" s="374">
        <v>21</v>
      </c>
      <c r="B40" s="375" t="s">
        <v>1118</v>
      </c>
      <c r="C40" s="376">
        <f t="shared" si="16"/>
        <v>2</v>
      </c>
      <c r="D40" s="376">
        <f t="shared" si="17"/>
        <v>89987</v>
      </c>
      <c r="E40" s="376">
        <f t="shared" si="18"/>
        <v>50339</v>
      </c>
      <c r="F40" s="376">
        <f t="shared" si="19"/>
        <v>18518</v>
      </c>
      <c r="G40" s="377">
        <f t="shared" si="8"/>
        <v>0</v>
      </c>
      <c r="H40" s="371">
        <f t="shared" si="4"/>
        <v>0</v>
      </c>
      <c r="I40" s="376">
        <f>COUNTIF(开!$BM$8:$BM$213,"政府"&amp;$B40)+COUNTIF('续 '!$BH$8:$BH$198,"政府"&amp;$B40)+COUNTIF(竣!$BI$26:$BI$130,"政府"&amp;$B40)</f>
        <v>1</v>
      </c>
      <c r="J40" s="376">
        <f>SUMIF(开!$BM$8:$BM$213,"政府"&amp;$B40,开!$F$8:$F$213)+SUMIF('续 '!$BH$8:$BH$198,"政府"&amp;$B40,'续 '!$F$8:$F$198)+SUMIF(竣!$BI$26:$BI$130,"政府"&amp;$B40,竣!$F$26:$F$130)</f>
        <v>13387</v>
      </c>
      <c r="K40" s="376">
        <f>SUMIF('续 '!$BH$8:$BH$198,"政府"&amp;$B40,'续 '!$G$8:$G$198)+SUMIF(竣!$BI$26:$BI$130,"政府"&amp;$B40,竣!$G$26:$G$130)</f>
        <v>9869</v>
      </c>
      <c r="L40" s="376">
        <f>SUMIF(开!$BM$8:$BM$213,"政府"&amp;$B40,开!$L$8:$L$213)+SUMIF('续 '!$BH$8:$BH$198,"政府"&amp;$B40,'续 '!$L$8:$L$198)+SUMIF(竣!$BI$26:$BI$130,"政府"&amp;$B40,竣!$L$26:$L$130)</f>
        <v>3518</v>
      </c>
      <c r="M40" s="403">
        <f t="shared" si="1"/>
        <v>0.189977319364942</v>
      </c>
      <c r="N40" s="376">
        <f>SUMIF(开!$BM$8:$BM$213,"政府"&amp;$B40,开!$P$8:$P$213)+SUMIF('续 '!$BH$8:$BH$198,"政府"&amp;$B40,'续 '!$O$8:$O$198)+SUMIF(竣!$BI$26:$BI$130,"政府"&amp;$B40,竣!$O$26:$O$130)</f>
        <v>0</v>
      </c>
      <c r="O40" s="403">
        <f t="shared" si="5"/>
        <v>0</v>
      </c>
      <c r="P40" s="376">
        <f>COUNTIF(开!$BM$8:$BM$213,"企业"&amp;$B40)+COUNTIF('续 '!$BH$8:$BH$198,"企业"&amp;$B40)+COUNTIF(竣!$BI$26:$BI$130,"企业"&amp;$B40)</f>
        <v>1</v>
      </c>
      <c r="Q40" s="376">
        <f>SUMIF(开!$BM$8:$BM$213,"企业"&amp;$B40,开!$F$8:$F$213)+SUMIF('续 '!$BH$8:$BH$198,"企业"&amp;$B40,'续 '!$F$8:$F$198)+SUMIF(竣!$BI$26:$BI$130,"企业"&amp;$B40,竣!$F$26:$F$130)</f>
        <v>76600</v>
      </c>
      <c r="R40" s="376">
        <f>SUMIF('续 '!$BH$8:$BH$198,"企业"&amp;$B40,'续 '!$G$8:$G$198)+SUMIF(竣!$BI$26:$BI$130,"企业"&amp;$B40,竣!$G$26:$G$130)</f>
        <v>40470</v>
      </c>
      <c r="S40" s="376">
        <f>SUMIF(开!$BM$8:$BM$213,"企业"&amp;$B40,开!$L$8:$L$213)+SUMIF('续 '!$BH$8:$BH$198,"企业"&amp;$B40,'续 '!$L$8:$L$198)+SUMIF(竣!$BI$26:$BI$130,"企业"&amp;$B40,竣!$L$26:$L$130)</f>
        <v>15000</v>
      </c>
      <c r="T40" s="403">
        <f t="shared" si="2"/>
        <v>0.810022680635058</v>
      </c>
      <c r="U40" s="376">
        <f>SUMIF(开!$BM$8:$BM$213,"企业"&amp;$B40,开!$P$8:$P$213)+SUMIF('续 '!$BH$8:$BH$198,"企业"&amp;$B40,'续 '!$O$8:$O$198)+SUMIF(竣!$BI$26:$BI$130,"企业"&amp;$B40,竣!$O$26:$O$130)</f>
        <v>0</v>
      </c>
      <c r="V40" s="403">
        <f t="shared" si="6"/>
        <v>0</v>
      </c>
    </row>
    <row r="41" s="334" customFormat="1" ht="25.15" customHeight="1" spans="1:22">
      <c r="A41" s="374">
        <v>22</v>
      </c>
      <c r="B41" s="375" t="s">
        <v>749</v>
      </c>
      <c r="C41" s="376">
        <f t="shared" si="16"/>
        <v>1</v>
      </c>
      <c r="D41" s="376">
        <f t="shared" si="17"/>
        <v>32500</v>
      </c>
      <c r="E41" s="376">
        <f t="shared" si="18"/>
        <v>5000</v>
      </c>
      <c r="F41" s="376">
        <f t="shared" si="19"/>
        <v>10000</v>
      </c>
      <c r="G41" s="377">
        <f t="shared" si="8"/>
        <v>0</v>
      </c>
      <c r="H41" s="371">
        <f t="shared" si="4"/>
        <v>0</v>
      </c>
      <c r="I41" s="376">
        <f>COUNTIF(开!$BM$8:$BM$213,"政府"&amp;$B41)+COUNTIF('续 '!$BH$8:$BH$198,"政府"&amp;$B41)+COUNTIF(竣!$BI$26:$BI$130,"政府"&amp;$B41)</f>
        <v>1</v>
      </c>
      <c r="J41" s="376">
        <f>SUMIF(开!$BM$8:$BM$213,"政府"&amp;$B41,开!$F$8:$F$213)+SUMIF('续 '!$BH$8:$BH$198,"政府"&amp;$B41,'续 '!$F$8:$F$198)+SUMIF(竣!$BI$26:$BI$130,"政府"&amp;$B41,竣!$F$26:$F$130)</f>
        <v>32500</v>
      </c>
      <c r="K41" s="376">
        <f>SUMIF('续 '!$BH$8:$BH$198,"政府"&amp;$B41,'续 '!$G$8:$G$198)+SUMIF(竣!$BI$26:$BI$130,"政府"&amp;$B41,竣!$G$26:$G$130)</f>
        <v>5000</v>
      </c>
      <c r="L41" s="376">
        <f>SUMIF(开!$BM$8:$BM$213,"政府"&amp;$B41,开!$L$8:$L$213)+SUMIF('续 '!$BH$8:$BH$198,"政府"&amp;$B41,'续 '!$L$8:$L$198)+SUMIF(竣!$BI$26:$BI$130,"政府"&amp;$B41,竣!$L$26:$L$130)</f>
        <v>10000</v>
      </c>
      <c r="M41" s="403">
        <f t="shared" si="1"/>
        <v>1</v>
      </c>
      <c r="N41" s="376">
        <f>SUMIF(开!$BM$8:$BM$213,"政府"&amp;$B41,开!$P$8:$P$213)+SUMIF('续 '!$BH$8:$BH$198,"政府"&amp;$B41,'续 '!$O$8:$O$198)+SUMIF(竣!$BI$26:$BI$130,"政府"&amp;$B41,竣!$O$26:$O$130)</f>
        <v>0</v>
      </c>
      <c r="O41" s="403">
        <f t="shared" si="5"/>
        <v>0</v>
      </c>
      <c r="P41" s="376">
        <f>COUNTIF(开!$BM$8:$BM$213,"企业"&amp;$B41)+COUNTIF('续 '!$BH$8:$BH$198,"企业"&amp;$B41)+COUNTIF(竣!$BI$26:$BI$130,"企业"&amp;$B41)</f>
        <v>0</v>
      </c>
      <c r="Q41" s="376">
        <f>SUMIF(开!$BM$8:$BM$213,"企业"&amp;$B41,开!$F$8:$F$213)+SUMIF('续 '!$BH$8:$BH$198,"企业"&amp;$B41,'续 '!$F$8:$F$198)+SUMIF(竣!$BI$26:$BI$130,"企业"&amp;$B41,竣!$F$26:$F$130)</f>
        <v>0</v>
      </c>
      <c r="R41" s="376">
        <f>SUMIF('续 '!$BH$8:$BH$198,"企业"&amp;$B41,'续 '!$G$8:$G$198)+SUMIF(竣!$BI$26:$BI$130,"企业"&amp;$B41,竣!$G$26:$G$130)</f>
        <v>0</v>
      </c>
      <c r="S41" s="376">
        <f>SUMIF(开!$BM$8:$BM$213,"企业"&amp;$B41,开!$L$8:$L$213)+SUMIF('续 '!$BH$8:$BH$198,"企业"&amp;$B41,'续 '!$L$8:$L$198)+SUMIF(竣!$BI$26:$BI$130,"企业"&amp;$B41,竣!$L$26:$L$130)</f>
        <v>0</v>
      </c>
      <c r="T41" s="403">
        <f t="shared" si="2"/>
        <v>0</v>
      </c>
      <c r="U41" s="376">
        <f>SUMIF(开!$BM$8:$BM$213,"企业"&amp;$B41,开!$P$8:$P$213)+SUMIF('续 '!$BH$8:$BH$198,"企业"&amp;$B41,'续 '!$O$8:$O$198)+SUMIF(竣!$BI$26:$BI$130,"企业"&amp;$B41,竣!$O$26:$O$130)</f>
        <v>0</v>
      </c>
      <c r="V41" s="403" t="e">
        <f t="shared" si="6"/>
        <v>#DIV/0!</v>
      </c>
    </row>
    <row r="42" s="334" customFormat="1" ht="25.15" customHeight="1" spans="1:22">
      <c r="A42" s="374"/>
      <c r="B42" s="375" t="s">
        <v>2764</v>
      </c>
      <c r="C42" s="376">
        <f>C27</f>
        <v>3</v>
      </c>
      <c r="D42" s="376">
        <f t="shared" ref="D42:S42" si="23">D27</f>
        <v>5580000</v>
      </c>
      <c r="E42" s="376">
        <f t="shared" si="23"/>
        <v>0</v>
      </c>
      <c r="F42" s="376">
        <f t="shared" si="23"/>
        <v>90000</v>
      </c>
      <c r="G42" s="376">
        <f t="shared" si="23"/>
        <v>0</v>
      </c>
      <c r="H42" s="376">
        <f t="shared" si="23"/>
        <v>0</v>
      </c>
      <c r="I42" s="376">
        <f t="shared" si="23"/>
        <v>0</v>
      </c>
      <c r="J42" s="376">
        <f t="shared" si="23"/>
        <v>0</v>
      </c>
      <c r="K42" s="376">
        <f t="shared" si="23"/>
        <v>0</v>
      </c>
      <c r="L42" s="376">
        <f t="shared" si="23"/>
        <v>0</v>
      </c>
      <c r="M42" s="376">
        <f t="shared" si="23"/>
        <v>0</v>
      </c>
      <c r="N42" s="376">
        <f t="shared" si="23"/>
        <v>0</v>
      </c>
      <c r="O42" s="376" t="e">
        <f t="shared" si="23"/>
        <v>#DIV/0!</v>
      </c>
      <c r="P42" s="376">
        <f t="shared" si="23"/>
        <v>3</v>
      </c>
      <c r="Q42" s="376">
        <f t="shared" si="23"/>
        <v>5580000</v>
      </c>
      <c r="R42" s="376">
        <f t="shared" si="23"/>
        <v>0</v>
      </c>
      <c r="S42" s="376">
        <f t="shared" si="23"/>
        <v>90000</v>
      </c>
      <c r="T42" s="403">
        <f t="shared" si="2"/>
        <v>1</v>
      </c>
      <c r="U42" s="376">
        <f>SUMIF(开!$BM$8:$BM$213,"企业"&amp;$B42,开!$P$8:$P$213)+SUMIF('续 '!$BH$8:$BH$198,"企业"&amp;$B42,'续 '!$O$8:$O$198)+SUMIF(竣!$BI$26:$BI$130,"企业"&amp;$B42,竣!$O$26:$O$130)</f>
        <v>0</v>
      </c>
      <c r="V42" s="403">
        <f t="shared" si="6"/>
        <v>0</v>
      </c>
    </row>
    <row r="43" s="334" customFormat="1" ht="25.15" customHeight="1" spans="1:22">
      <c r="A43" s="374">
        <v>23</v>
      </c>
      <c r="B43" s="375" t="s">
        <v>986</v>
      </c>
      <c r="C43" s="376">
        <f t="shared" si="16"/>
        <v>11</v>
      </c>
      <c r="D43" s="376">
        <f t="shared" si="17"/>
        <v>150892.8</v>
      </c>
      <c r="E43" s="376">
        <f t="shared" si="18"/>
        <v>40081</v>
      </c>
      <c r="F43" s="376">
        <f t="shared" si="19"/>
        <v>56114</v>
      </c>
      <c r="G43" s="377">
        <f t="shared" si="8"/>
        <v>0</v>
      </c>
      <c r="H43" s="371">
        <f t="shared" si="4"/>
        <v>0</v>
      </c>
      <c r="I43" s="376">
        <f>COUNTIF(开!$BM$8:$BM$213,"政府"&amp;$B43)+COUNTIF('续 '!$BH$8:$BH$198,"政府"&amp;$B43)+COUNTIF(竣!$BI$26:$BI$130,"政府"&amp;$B43)</f>
        <v>11</v>
      </c>
      <c r="J43" s="376">
        <f>SUMIF(开!$BM$8:$BM$213,"政府"&amp;$B43,开!$F$8:$F$213)+SUMIF('续 '!$BH$8:$BH$198,"政府"&amp;$B43,'续 '!$F$8:$F$198)+SUMIF(竣!$BI$26:$BI$130,"政府"&amp;$B43,竣!$F$26:$F$130)</f>
        <v>150892.8</v>
      </c>
      <c r="K43" s="376">
        <f>SUMIF('续 '!$BH$8:$BH$198,"政府"&amp;$B43,'续 '!$G$8:$G$198)+SUMIF(竣!$BI$26:$BI$130,"政府"&amp;$B43,竣!$G$26:$G$130)</f>
        <v>40081</v>
      </c>
      <c r="L43" s="376">
        <f>SUMIF(开!$BM$8:$BM$213,"政府"&amp;$B43,开!$L$8:$L$213)+SUMIF('续 '!$BH$8:$BH$198,"政府"&amp;$B43,'续 '!$L$8:$L$198)+SUMIF(竣!$BI$26:$BI$130,"政府"&amp;$B43,竣!$L$26:$L$130)</f>
        <v>56114</v>
      </c>
      <c r="M43" s="403">
        <f t="shared" ref="M43:M69" si="24">L43/F43</f>
        <v>1</v>
      </c>
      <c r="N43" s="376">
        <f>SUMIF(开!$BM$8:$BM$213,"政府"&amp;$B43,开!$P$8:$P$213)+SUMIF('续 '!$BH$8:$BH$198,"政府"&amp;$B43,'续 '!$O$8:$O$198)+SUMIF(竣!$BI$26:$BI$130,"政府"&amp;$B43,竣!$O$26:$O$130)</f>
        <v>0</v>
      </c>
      <c r="O43" s="403">
        <f t="shared" si="5"/>
        <v>0</v>
      </c>
      <c r="P43" s="376">
        <f>COUNTIF(开!$BM$8:$BM$213,"企业"&amp;$B43)+COUNTIF('续 '!$BH$8:$BH$198,"企业"&amp;$B43)+COUNTIF(竣!$BI$26:$BI$130,"企业"&amp;$B43)</f>
        <v>0</v>
      </c>
      <c r="Q43" s="376">
        <f>SUMIF(开!$BM$8:$BM$213,"企业"&amp;$B43,开!$F$8:$F$213)+SUMIF('续 '!$BH$8:$BH$198,"企业"&amp;$B43,'续 '!$F$8:$F$198)+SUMIF(竣!$BI$26:$BI$130,"企业"&amp;$B43,竣!$F$26:$F$130)</f>
        <v>0</v>
      </c>
      <c r="R43" s="376">
        <f>SUMIF('续 '!$BH$8:$BH$198,"企业"&amp;$B43,'续 '!$G$8:$G$198)+SUMIF(竣!$BI$26:$BI$130,"企业"&amp;$B43,竣!$G$26:$G$130)</f>
        <v>0</v>
      </c>
      <c r="S43" s="376">
        <f>SUMIF(开!$BM$8:$BM$213,"企业"&amp;$B43,开!$L$8:$L$213)+SUMIF('续 '!$BH$8:$BH$198,"企业"&amp;$B43,'续 '!$L$8:$L$198)+SUMIF(竣!$BI$26:$BI$130,"企业"&amp;$B43,竣!$L$26:$L$130)</f>
        <v>0</v>
      </c>
      <c r="T43" s="403">
        <f t="shared" ref="T43:T69" si="25">S43/F43</f>
        <v>0</v>
      </c>
      <c r="U43" s="376">
        <f>SUMIF(开!$BM$8:$BM$213,"企业"&amp;$B43,开!$P$8:$P$213)+SUMIF('续 '!$BH$8:$BH$198,"企业"&amp;$B43,'续 '!$O$8:$O$198)+SUMIF(竣!$BI$26:$BI$130,"企业"&amp;$B43,竣!$O$26:$O$130)</f>
        <v>0</v>
      </c>
      <c r="V43" s="403" t="e">
        <f t="shared" si="6"/>
        <v>#DIV/0!</v>
      </c>
    </row>
    <row r="44" s="334" customFormat="1" ht="30" customHeight="1" spans="1:22">
      <c r="A44" s="374"/>
      <c r="B44" s="375" t="s">
        <v>1586</v>
      </c>
      <c r="C44" s="376">
        <f t="shared" si="16"/>
        <v>0</v>
      </c>
      <c r="D44" s="376">
        <f t="shared" si="17"/>
        <v>0</v>
      </c>
      <c r="E44" s="376">
        <f t="shared" si="18"/>
        <v>0</v>
      </c>
      <c r="F44" s="376">
        <f t="shared" si="19"/>
        <v>0</v>
      </c>
      <c r="G44" s="377">
        <f t="shared" si="8"/>
        <v>0</v>
      </c>
      <c r="H44" s="371" t="e">
        <f t="shared" si="4"/>
        <v>#DIV/0!</v>
      </c>
      <c r="I44" s="376">
        <f>COUNTIF(开!$BM$8:$BM$213,"政府"&amp;$B44)+COUNTIF('续 '!$BH$8:$BH$198,"政府"&amp;$B44)+COUNTIF(竣!$BI$26:$BI$130,"政府"&amp;$B44)</f>
        <v>0</v>
      </c>
      <c r="J44" s="376">
        <f>SUMIF(开!$BM$8:$BM$213,"政府"&amp;$B44,开!$F$8:$F$213)+SUMIF('续 '!$BH$8:$BH$198,"政府"&amp;$B44,'续 '!$F$8:$F$198)+SUMIF(竣!$BI$26:$BI$130,"政府"&amp;$B44,竣!$F$26:$F$130)</f>
        <v>0</v>
      </c>
      <c r="K44" s="376">
        <f>SUMIF('续 '!$BH$8:$BH$198,"政府"&amp;$B44,'续 '!$G$8:$G$198)+SUMIF(竣!$BI$26:$BI$130,"政府"&amp;$B44,竣!$G$26:$G$130)</f>
        <v>0</v>
      </c>
      <c r="L44" s="376">
        <f>SUMIF(开!$BM$8:$BM$213,"政府"&amp;$B44,开!$L$8:$L$213)+SUMIF('续 '!$BH$8:$BH$198,"政府"&amp;$B44,'续 '!$L$8:$L$198)+SUMIF(竣!$BI$26:$BI$130,"政府"&amp;$B44,竣!$L$26:$L$130)</f>
        <v>0</v>
      </c>
      <c r="M44" s="403" t="e">
        <f t="shared" si="24"/>
        <v>#DIV/0!</v>
      </c>
      <c r="N44" s="376">
        <f>SUMIF(开!$BM$8:$BM$213,"政府"&amp;$B44,开!$P$8:$P$213)+SUMIF('续 '!$BH$8:$BH$198,"政府"&amp;$B44,'续 '!$O$8:$O$198)+SUMIF(竣!$BI$26:$BI$130,"政府"&amp;$B44,竣!$O$26:$O$130)</f>
        <v>0</v>
      </c>
      <c r="O44" s="403" t="e">
        <f t="shared" si="5"/>
        <v>#DIV/0!</v>
      </c>
      <c r="P44" s="376">
        <f>COUNTIF(开!$BM$8:$BM$213,"企业"&amp;$B44)+COUNTIF('续 '!$BH$8:$BH$198,"企业"&amp;$B44)+COUNTIF(竣!$BI$26:$BI$130,"企业"&amp;$B44)</f>
        <v>0</v>
      </c>
      <c r="Q44" s="376">
        <f>SUMIF(开!$BM$8:$BM$213,"企业"&amp;$B44,开!$F$8:$F$213)+SUMIF('续 '!$BH$8:$BH$198,"企业"&amp;$B44,'续 '!$F$8:$F$198)+SUMIF(竣!$BI$26:$BI$130,"企业"&amp;$B44,竣!$F$26:$F$130)</f>
        <v>0</v>
      </c>
      <c r="R44" s="376">
        <f>SUMIF('续 '!$BH$8:$BH$198,"企业"&amp;$B44,'续 '!$G$8:$G$198)+SUMIF(竣!$BI$26:$BI$130,"企业"&amp;$B44,竣!$G$26:$G$130)</f>
        <v>0</v>
      </c>
      <c r="S44" s="376">
        <f>SUMIF(开!$BM$8:$BM$213,"企业"&amp;$B44,开!$L$8:$L$213)+SUMIF('续 '!$BH$8:$BH$198,"企业"&amp;$B44,'续 '!$L$8:$L$198)+SUMIF(竣!$BI$26:$BI$130,"企业"&amp;$B44,竣!$L$26:$L$130)</f>
        <v>0</v>
      </c>
      <c r="T44" s="403" t="e">
        <f t="shared" si="25"/>
        <v>#DIV/0!</v>
      </c>
      <c r="U44" s="376">
        <f>SUMIF(开!$BM$8:$BM$213,"企业"&amp;$B44,开!$P$8:$P$213)+SUMIF('续 '!$BH$8:$BH$198,"企业"&amp;$B44,'续 '!$O$8:$O$198)+SUMIF(竣!$BI$26:$BI$130,"企业"&amp;$B44,竣!$O$26:$O$130)</f>
        <v>0</v>
      </c>
      <c r="V44" s="403" t="e">
        <f t="shared" si="6"/>
        <v>#DIV/0!</v>
      </c>
    </row>
    <row r="45" s="334" customFormat="1" ht="25.15" customHeight="1" spans="1:22">
      <c r="A45" s="374">
        <v>24</v>
      </c>
      <c r="B45" s="375" t="s">
        <v>1582</v>
      </c>
      <c r="C45" s="376">
        <f t="shared" si="16"/>
        <v>1</v>
      </c>
      <c r="D45" s="376">
        <f t="shared" si="17"/>
        <v>36363</v>
      </c>
      <c r="E45" s="376">
        <f t="shared" si="18"/>
        <v>9021</v>
      </c>
      <c r="F45" s="376">
        <f t="shared" si="19"/>
        <v>10000</v>
      </c>
      <c r="G45" s="377">
        <f t="shared" si="8"/>
        <v>0</v>
      </c>
      <c r="H45" s="371">
        <f t="shared" si="4"/>
        <v>0</v>
      </c>
      <c r="I45" s="376">
        <f>COUNTIF(开!$BM$8:$BM$213,"政府"&amp;$B45)+COUNTIF('续 '!$BH$8:$BH$198,"政府"&amp;$B45)+COUNTIF(竣!$BI$26:$BI$130,"政府"&amp;$B45)</f>
        <v>0</v>
      </c>
      <c r="J45" s="376">
        <f>SUMIF(开!$BM$8:$BM$213,"政府"&amp;$B45,开!$F$8:$F$213)+SUMIF('续 '!$BH$8:$BH$198,"政府"&amp;$B45,'续 '!$F$8:$F$198)+SUMIF(竣!$BI$26:$BI$130,"政府"&amp;$B45,竣!$F$26:$F$130)</f>
        <v>0</v>
      </c>
      <c r="K45" s="376">
        <f>SUMIF('续 '!$BH$8:$BH$198,"政府"&amp;$B45,'续 '!$G$8:$G$198)+SUMIF(竣!$BI$26:$BI$130,"政府"&amp;$B45,竣!$G$26:$G$130)</f>
        <v>0</v>
      </c>
      <c r="L45" s="376">
        <f>SUMIF(开!$BM$8:$BM$213,"政府"&amp;$B45,开!$L$8:$L$213)+SUMIF('续 '!$BH$8:$BH$198,"政府"&amp;$B45,'续 '!$L$8:$L$198)+SUMIF(竣!$BI$26:$BI$130,"政府"&amp;$B45,竣!$L$26:$L$130)</f>
        <v>0</v>
      </c>
      <c r="M45" s="403">
        <f t="shared" si="24"/>
        <v>0</v>
      </c>
      <c r="N45" s="376">
        <f>SUMIF(开!$BM$8:$BM$213,"政府"&amp;$B45,开!$P$8:$P$213)+SUMIF('续 '!$BH$8:$BH$198,"政府"&amp;$B45,'续 '!$O$8:$O$198)+SUMIF(竣!$BI$26:$BI$130,"政府"&amp;$B45,竣!$O$26:$O$130)</f>
        <v>0</v>
      </c>
      <c r="O45" s="403" t="e">
        <f t="shared" si="5"/>
        <v>#DIV/0!</v>
      </c>
      <c r="P45" s="376">
        <f>COUNTIF(开!$BM$8:$BM$213,"企业"&amp;$B45)+COUNTIF('续 '!$BH$8:$BH$198,"企业"&amp;$B45)+COUNTIF(竣!$BI$26:$BI$130,"企业"&amp;$B45)</f>
        <v>1</v>
      </c>
      <c r="Q45" s="376">
        <f>SUMIF(开!$BM$8:$BM$213,"企业"&amp;$B45,开!$F$8:$F$213)+SUMIF('续 '!$BH$8:$BH$198,"企业"&amp;$B45,'续 '!$F$8:$F$198)+SUMIF(竣!$BI$26:$BI$130,"企业"&amp;$B45,竣!$F$26:$F$130)</f>
        <v>36363</v>
      </c>
      <c r="R45" s="376">
        <f>SUMIF('续 '!$BH$8:$BH$198,"企业"&amp;$B45,'续 '!$G$8:$G$198)+SUMIF(竣!$BI$26:$BI$130,"企业"&amp;$B45,竣!$G$26:$G$130)</f>
        <v>9021</v>
      </c>
      <c r="S45" s="376">
        <f>SUMIF(开!$BM$8:$BM$213,"企业"&amp;$B45,开!$L$8:$L$213)+SUMIF('续 '!$BH$8:$BH$198,"企业"&amp;$B45,'续 '!$L$8:$L$198)+SUMIF(竣!$BI$26:$BI$130,"企业"&amp;$B45,竣!$L$26:$L$130)</f>
        <v>10000</v>
      </c>
      <c r="T45" s="403">
        <f t="shared" si="25"/>
        <v>1</v>
      </c>
      <c r="U45" s="376">
        <f>SUMIF(开!$BM$8:$BM$213,"企业"&amp;$B45,开!$P$8:$P$213)+SUMIF('续 '!$BH$8:$BH$198,"企业"&amp;$B45,'续 '!$O$8:$O$198)+SUMIF(竣!$BI$26:$BI$130,"企业"&amp;$B45,竣!$O$26:$O$130)</f>
        <v>0</v>
      </c>
      <c r="V45" s="403">
        <f t="shared" si="6"/>
        <v>0</v>
      </c>
    </row>
    <row r="46" s="334" customFormat="1" ht="27" customHeight="1" spans="1:22">
      <c r="A46" s="374">
        <v>25</v>
      </c>
      <c r="B46" s="375" t="s">
        <v>919</v>
      </c>
      <c r="C46" s="376">
        <f t="shared" si="16"/>
        <v>1</v>
      </c>
      <c r="D46" s="376">
        <f t="shared" si="17"/>
        <v>16000</v>
      </c>
      <c r="E46" s="376">
        <f t="shared" si="18"/>
        <v>6000</v>
      </c>
      <c r="F46" s="376">
        <f t="shared" si="19"/>
        <v>10000</v>
      </c>
      <c r="G46" s="377">
        <f t="shared" si="8"/>
        <v>0</v>
      </c>
      <c r="H46" s="371">
        <f t="shared" si="4"/>
        <v>0</v>
      </c>
      <c r="I46" s="376">
        <f>COUNTIF(开!$BM$8:$BM$213,"政府"&amp;$B46)+COUNTIF('续 '!$BH$8:$BH$198,"政府"&amp;$B46)+COUNTIF(竣!$BI$26:$BI$130,"政府"&amp;$B46)</f>
        <v>1</v>
      </c>
      <c r="J46" s="376">
        <f>SUMIF(开!$BM$8:$BM$213,"政府"&amp;$B46,开!$F$8:$F$213)+SUMIF('续 '!$BH$8:$BH$198,"政府"&amp;$B46,'续 '!$F$8:$F$198)+SUMIF(竣!$BI$26:$BI$130,"政府"&amp;$B46,竣!$F$26:$F$130)</f>
        <v>16000</v>
      </c>
      <c r="K46" s="376">
        <f>SUMIF('续 '!$BH$8:$BH$198,"政府"&amp;$B46,'续 '!$G$8:$G$198)+SUMIF(竣!$BI$26:$BI$130,"政府"&amp;$B46,竣!$G$26:$G$130)</f>
        <v>6000</v>
      </c>
      <c r="L46" s="376">
        <f>SUMIF(开!$BM$8:$BM$213,"政府"&amp;$B46,开!$L$8:$L$213)+SUMIF('续 '!$BH$8:$BH$198,"政府"&amp;$B46,'续 '!$L$8:$L$198)+SUMIF(竣!$BI$26:$BI$130,"政府"&amp;$B46,竣!$L$26:$L$130)</f>
        <v>10000</v>
      </c>
      <c r="M46" s="403">
        <f t="shared" si="24"/>
        <v>1</v>
      </c>
      <c r="N46" s="376">
        <f>SUMIF(开!$BM$8:$BM$213,"政府"&amp;$B46,开!$P$8:$P$213)+SUMIF('续 '!$BH$8:$BH$198,"政府"&amp;$B46,'续 '!$O$8:$O$198)+SUMIF(竣!$BI$26:$BI$130,"政府"&amp;$B46,竣!$O$26:$O$130)</f>
        <v>0</v>
      </c>
      <c r="O46" s="403">
        <f t="shared" si="5"/>
        <v>0</v>
      </c>
      <c r="P46" s="376">
        <f>COUNTIF(开!$BM$8:$BM$213,"企业"&amp;$B46)+COUNTIF('续 '!$BH$8:$BH$198,"企业"&amp;$B46)+COUNTIF(竣!$BI$26:$BI$130,"企业"&amp;$B46)</f>
        <v>0</v>
      </c>
      <c r="Q46" s="376">
        <f>SUMIF(开!$BM$8:$BM$213,"企业"&amp;$B46,开!$F$8:$F$213)+SUMIF('续 '!$BH$8:$BH$198,"企业"&amp;$B46,'续 '!$F$8:$F$198)+SUMIF(竣!$BI$26:$BI$130,"企业"&amp;$B46,竣!$F$26:$F$130)</f>
        <v>0</v>
      </c>
      <c r="R46" s="376">
        <f>SUMIF('续 '!$BH$8:$BH$198,"企业"&amp;$B46,'续 '!$G$8:$G$198)+SUMIF(竣!$BI$26:$BI$130,"企业"&amp;$B46,竣!$G$26:$G$130)</f>
        <v>0</v>
      </c>
      <c r="S46" s="376">
        <f>SUMIF(开!$BM$8:$BM$213,"企业"&amp;$B46,开!$L$8:$L$213)+SUMIF('续 '!$BH$8:$BH$198,"企业"&amp;$B46,'续 '!$L$8:$L$198)+SUMIF(竣!$BI$26:$BI$130,"企业"&amp;$B46,竣!$L$26:$L$130)</f>
        <v>0</v>
      </c>
      <c r="T46" s="403">
        <f t="shared" si="25"/>
        <v>0</v>
      </c>
      <c r="U46" s="376">
        <f>SUMIF(开!$BM$8:$BM$213,"企业"&amp;$B46,开!$P$8:$P$213)+SUMIF('续 '!$BH$8:$BH$198,"企业"&amp;$B46,'续 '!$O$8:$O$198)+SUMIF(竣!$BI$26:$BI$130,"企业"&amp;$B46,竣!$O$26:$O$130)</f>
        <v>0</v>
      </c>
      <c r="V46" s="403" t="e">
        <f t="shared" si="6"/>
        <v>#DIV/0!</v>
      </c>
    </row>
    <row r="47" s="334" customFormat="1" ht="25.15" customHeight="1" spans="1:22">
      <c r="A47" s="374">
        <v>26</v>
      </c>
      <c r="B47" s="375" t="s">
        <v>924</v>
      </c>
      <c r="C47" s="376">
        <f t="shared" si="16"/>
        <v>1</v>
      </c>
      <c r="D47" s="376">
        <f t="shared" si="17"/>
        <v>7724</v>
      </c>
      <c r="E47" s="376">
        <f t="shared" si="18"/>
        <v>5323</v>
      </c>
      <c r="F47" s="376">
        <f t="shared" si="19"/>
        <v>2401</v>
      </c>
      <c r="G47" s="377">
        <f t="shared" si="8"/>
        <v>0</v>
      </c>
      <c r="H47" s="371">
        <f t="shared" si="4"/>
        <v>0</v>
      </c>
      <c r="I47" s="376">
        <f>COUNTIF(开!$BM$8:$BM$213,"政府"&amp;$B47)+COUNTIF('续 '!$BH$8:$BH$198,"政府"&amp;$B47)+COUNTIF(竣!$BI$26:$BI$130,"政府"&amp;$B47)</f>
        <v>1</v>
      </c>
      <c r="J47" s="376">
        <f>SUMIF(开!$BM$8:$BM$213,"政府"&amp;$B47,开!$F$8:$F$213)+SUMIF('续 '!$BH$8:$BH$198,"政府"&amp;$B47,'续 '!$F$8:$F$198)+SUMIF(竣!$BI$26:$BI$130,"政府"&amp;$B47,竣!$F$26:$F$130)</f>
        <v>7724</v>
      </c>
      <c r="K47" s="376">
        <f>SUMIF('续 '!$BH$8:$BH$198,"政府"&amp;$B47,'续 '!$G$8:$G$198)+SUMIF(竣!$BI$26:$BI$130,"政府"&amp;$B47,竣!$G$26:$G$130)</f>
        <v>5323</v>
      </c>
      <c r="L47" s="376">
        <f>SUMIF(开!$BM$8:$BM$213,"政府"&amp;$B47,开!$L$8:$L$213)+SUMIF('续 '!$BH$8:$BH$198,"政府"&amp;$B47,'续 '!$L$8:$L$198)+SUMIF(竣!$BI$26:$BI$130,"政府"&amp;$B47,竣!$L$26:$L$130)</f>
        <v>2401</v>
      </c>
      <c r="M47" s="403">
        <f t="shared" si="24"/>
        <v>1</v>
      </c>
      <c r="N47" s="376">
        <f>SUMIF(开!$BM$8:$BM$213,"政府"&amp;$B47,开!$P$8:$P$213)+SUMIF('续 '!$BH$8:$BH$198,"政府"&amp;$B47,'续 '!$O$8:$O$198)+SUMIF(竣!$BI$26:$BI$130,"政府"&amp;$B47,竣!$O$26:$O$130)</f>
        <v>0</v>
      </c>
      <c r="O47" s="403">
        <f t="shared" si="5"/>
        <v>0</v>
      </c>
      <c r="P47" s="376">
        <f>COUNTIF(开!$BM$8:$BM$213,"企业"&amp;$B47)+COUNTIF('续 '!$BH$8:$BH$198,"企业"&amp;$B47)+COUNTIF(竣!$BI$26:$BI$130,"企业"&amp;$B47)</f>
        <v>0</v>
      </c>
      <c r="Q47" s="376">
        <f>SUMIF(开!$BM$8:$BM$213,"企业"&amp;$B47,开!$F$8:$F$213)+SUMIF('续 '!$BH$8:$BH$198,"企业"&amp;$B47,'续 '!$F$8:$F$198)+SUMIF(竣!$BI$26:$BI$130,"企业"&amp;$B47,竣!$F$26:$F$130)</f>
        <v>0</v>
      </c>
      <c r="R47" s="376">
        <f>SUMIF('续 '!$BH$8:$BH$198,"企业"&amp;$B47,'续 '!$G$8:$G$198)+SUMIF(竣!$BI$26:$BI$130,"企业"&amp;$B47,竣!$G$26:$G$130)</f>
        <v>0</v>
      </c>
      <c r="S47" s="376">
        <f>SUMIF(开!$BM$8:$BM$213,"企业"&amp;$B47,开!$L$8:$L$213)+SUMIF('续 '!$BH$8:$BH$198,"企业"&amp;$B47,'续 '!$L$8:$L$198)+SUMIF(竣!$BI$26:$BI$130,"企业"&amp;$B47,竣!$L$26:$L$130)</f>
        <v>0</v>
      </c>
      <c r="T47" s="403">
        <f t="shared" si="25"/>
        <v>0</v>
      </c>
      <c r="U47" s="376">
        <f>SUMIF(开!$BM$8:$BM$213,"企业"&amp;$B47,开!$P$8:$P$213)+SUMIF('续 '!$BH$8:$BH$198,"企业"&amp;$B47,'续 '!$O$8:$O$198)+SUMIF(竣!$BI$26:$BI$130,"企业"&amp;$B47,竣!$O$26:$O$130)</f>
        <v>0</v>
      </c>
      <c r="V47" s="403" t="e">
        <f t="shared" si="6"/>
        <v>#DIV/0!</v>
      </c>
    </row>
    <row r="48" s="334" customFormat="1" ht="25.15" customHeight="1" spans="1:22">
      <c r="A48" s="374"/>
      <c r="B48" s="375" t="s">
        <v>2782</v>
      </c>
      <c r="C48" s="376">
        <f t="shared" si="16"/>
        <v>0</v>
      </c>
      <c r="D48" s="376">
        <f t="shared" si="17"/>
        <v>0</v>
      </c>
      <c r="E48" s="376">
        <f t="shared" si="18"/>
        <v>0</v>
      </c>
      <c r="F48" s="376">
        <f t="shared" si="19"/>
        <v>0</v>
      </c>
      <c r="G48" s="377">
        <f t="shared" si="8"/>
        <v>0</v>
      </c>
      <c r="H48" s="371" t="e">
        <f t="shared" si="4"/>
        <v>#DIV/0!</v>
      </c>
      <c r="I48" s="376">
        <f>COUNTIF(开!$BM$8:$BM$213,"政府"&amp;$B48)+COUNTIF('续 '!$BH$8:$BH$198,"政府"&amp;$B48)+COUNTIF(竣!$BI$26:$BI$130,"政府"&amp;$B48)</f>
        <v>0</v>
      </c>
      <c r="J48" s="376">
        <f>SUMIF(开!$BM$8:$BM$213,"政府"&amp;$B48,开!$F$8:$F$213)+SUMIF('续 '!$BH$8:$BH$198,"政府"&amp;$B48,'续 '!$F$8:$F$198)+SUMIF(竣!$BI$26:$BI$130,"政府"&amp;$B48,竣!$F$26:$F$130)</f>
        <v>0</v>
      </c>
      <c r="K48" s="376">
        <f>SUMIF('续 '!$BH$8:$BH$198,"政府"&amp;$B48,'续 '!$G$8:$G$198)+SUMIF(竣!$BI$26:$BI$130,"政府"&amp;$B48,竣!$G$26:$G$130)</f>
        <v>0</v>
      </c>
      <c r="L48" s="376">
        <f>SUMIF(开!$BM$8:$BM$213,"政府"&amp;$B48,开!$L$8:$L$213)+SUMIF('续 '!$BH$8:$BH$198,"政府"&amp;$B48,'续 '!$L$8:$L$198)+SUMIF(竣!$BI$26:$BI$130,"政府"&amp;$B48,竣!$L$26:$L$130)</f>
        <v>0</v>
      </c>
      <c r="M48" s="403" t="e">
        <f t="shared" si="24"/>
        <v>#DIV/0!</v>
      </c>
      <c r="N48" s="376">
        <f>SUMIF(开!$BM$8:$BM$213,"政府"&amp;$B48,开!$P$8:$P$213)+SUMIF('续 '!$BH$8:$BH$198,"政府"&amp;$B48,'续 '!$O$8:$O$198)+SUMIF(竣!$BI$26:$BI$130,"政府"&amp;$B48,竣!$O$26:$O$130)</f>
        <v>0</v>
      </c>
      <c r="O48" s="403" t="e">
        <f t="shared" si="5"/>
        <v>#DIV/0!</v>
      </c>
      <c r="P48" s="376">
        <f>COUNTIF(开!$BM$8:$BM$213,"企业"&amp;$B48)+COUNTIF('续 '!$BH$8:$BH$198,"企业"&amp;$B48)+COUNTIF(竣!$BI$26:$BI$130,"企业"&amp;$B48)</f>
        <v>0</v>
      </c>
      <c r="Q48" s="376">
        <f>SUMIF(开!$BM$8:$BM$213,"企业"&amp;$B48,开!$F$8:$F$213)+SUMIF('续 '!$BH$8:$BH$198,"企业"&amp;$B48,'续 '!$F$8:$F$198)+SUMIF(竣!$BI$26:$BI$130,"企业"&amp;$B48,竣!$F$26:$F$130)</f>
        <v>0</v>
      </c>
      <c r="R48" s="376">
        <f>SUMIF('续 '!$BH$8:$BH$198,"企业"&amp;$B48,'续 '!$G$8:$G$198)+SUMIF(竣!$BI$26:$BI$130,"企业"&amp;$B48,竣!$G$26:$G$130)</f>
        <v>0</v>
      </c>
      <c r="S48" s="376">
        <f>SUMIF(开!$BM$8:$BM$213,"企业"&amp;$B48,开!$L$8:$L$213)+SUMIF('续 '!$BH$8:$BH$198,"企业"&amp;$B48,'续 '!$L$8:$L$198)+SUMIF(竣!$BI$26:$BI$130,"企业"&amp;$B48,竣!$L$26:$L$130)</f>
        <v>0</v>
      </c>
      <c r="T48" s="403" t="e">
        <f t="shared" si="25"/>
        <v>#DIV/0!</v>
      </c>
      <c r="U48" s="376">
        <f>SUMIF(开!$BM$8:$BM$213,"企业"&amp;$B48,开!$P$8:$P$213)+SUMIF('续 '!$BH$8:$BH$198,"企业"&amp;$B48,'续 '!$O$8:$O$198)+SUMIF(竣!$BI$26:$BI$130,"企业"&amp;$B48,竣!$O$26:$O$130)</f>
        <v>0</v>
      </c>
      <c r="V48" s="403" t="e">
        <f t="shared" si="6"/>
        <v>#DIV/0!</v>
      </c>
    </row>
    <row r="49" s="334" customFormat="1" ht="25.15" customHeight="1" spans="1:22">
      <c r="A49" s="374"/>
      <c r="B49" s="381" t="s">
        <v>2783</v>
      </c>
      <c r="C49" s="376">
        <f t="shared" si="16"/>
        <v>0</v>
      </c>
      <c r="D49" s="376">
        <f t="shared" si="17"/>
        <v>0</v>
      </c>
      <c r="E49" s="376">
        <f t="shared" si="18"/>
        <v>0</v>
      </c>
      <c r="F49" s="376">
        <f t="shared" si="19"/>
        <v>0</v>
      </c>
      <c r="G49" s="377">
        <f t="shared" si="8"/>
        <v>0</v>
      </c>
      <c r="H49" s="371" t="e">
        <f t="shared" si="4"/>
        <v>#DIV/0!</v>
      </c>
      <c r="I49" s="376">
        <f>COUNTIF(开!$BM$8:$BM$213,"政府"&amp;$B49)+COUNTIF('续 '!$BH$8:$BH$198,"政府"&amp;$B49)+COUNTIF(竣!$BI$26:$BI$130,"政府"&amp;$B49)</f>
        <v>0</v>
      </c>
      <c r="J49" s="376">
        <f>SUMIF(开!$BM$8:$BM$213,"政府"&amp;$B49,开!$F$8:$F$213)+SUMIF('续 '!$BH$8:$BH$198,"政府"&amp;$B49,'续 '!$F$8:$F$198)+SUMIF(竣!$BI$26:$BI$130,"政府"&amp;$B49,竣!$F$26:$F$130)</f>
        <v>0</v>
      </c>
      <c r="K49" s="376">
        <f>SUMIF('续 '!$BH$8:$BH$198,"政府"&amp;$B49,'续 '!$G$8:$G$198)+SUMIF(竣!$BI$26:$BI$130,"政府"&amp;$B49,竣!$G$26:$G$130)</f>
        <v>0</v>
      </c>
      <c r="L49" s="376">
        <f>SUMIF(开!$BM$8:$BM$213,"政府"&amp;$B49,开!$L$8:$L$213)+SUMIF('续 '!$BH$8:$BH$198,"政府"&amp;$B49,'续 '!$L$8:$L$198)+SUMIF(竣!$BI$26:$BI$130,"政府"&amp;$B49,竣!$L$26:$L$130)</f>
        <v>0</v>
      </c>
      <c r="M49" s="403" t="e">
        <f t="shared" si="24"/>
        <v>#DIV/0!</v>
      </c>
      <c r="N49" s="376">
        <f>SUMIF(开!$BM$8:$BM$213,"政府"&amp;$B49,开!$P$8:$P$213)+SUMIF('续 '!$BH$8:$BH$198,"政府"&amp;$B49,'续 '!$O$8:$O$198)+SUMIF(竣!$BI$26:$BI$130,"政府"&amp;$B49,竣!$O$26:$O$130)</f>
        <v>0</v>
      </c>
      <c r="O49" s="403" t="e">
        <f t="shared" si="5"/>
        <v>#DIV/0!</v>
      </c>
      <c r="P49" s="376">
        <f>COUNTIF(开!$BM$8:$BM$213,"企业"&amp;$B49)+COUNTIF('续 '!$BH$8:$BH$198,"企业"&amp;$B49)+COUNTIF(竣!$BI$26:$BI$130,"企业"&amp;$B49)</f>
        <v>0</v>
      </c>
      <c r="Q49" s="376">
        <f>SUMIF(开!$BM$8:$BM$213,"企业"&amp;$B49,开!$F$8:$F$213)+SUMIF('续 '!$BH$8:$BH$198,"企业"&amp;$B49,'续 '!$F$8:$F$198)+SUMIF(竣!$BI$26:$BI$130,"企业"&amp;$B49,竣!$F$26:$F$130)</f>
        <v>0</v>
      </c>
      <c r="R49" s="376">
        <f>SUMIF('续 '!$BH$8:$BH$198,"企业"&amp;$B49,'续 '!$G$8:$G$198)+SUMIF(竣!$BI$26:$BI$130,"企业"&amp;$B49,竣!$G$26:$G$130)</f>
        <v>0</v>
      </c>
      <c r="S49" s="376">
        <f>SUMIF(开!$BM$8:$BM$213,"企业"&amp;$B49,开!$L$8:$L$213)+SUMIF('续 '!$BH$8:$BH$198,"企业"&amp;$B49,'续 '!$L$8:$L$198)+SUMIF(竣!$BI$26:$BI$130,"企业"&amp;$B49,竣!$L$26:$L$130)</f>
        <v>0</v>
      </c>
      <c r="T49" s="403" t="e">
        <f t="shared" si="25"/>
        <v>#DIV/0!</v>
      </c>
      <c r="U49" s="376">
        <f>SUMIF(开!$BM$8:$BM$213,"企业"&amp;$B49,开!$P$8:$P$213)+SUMIF('续 '!$BH$8:$BH$198,"企业"&amp;$B49,'续 '!$O$8:$O$198)+SUMIF(竣!$BI$26:$BI$130,"企业"&amp;$B49,竣!$O$26:$O$130)</f>
        <v>0</v>
      </c>
      <c r="V49" s="403" t="e">
        <f t="shared" si="6"/>
        <v>#DIV/0!</v>
      </c>
    </row>
    <row r="50" s="334" customFormat="1" ht="25.15" customHeight="1" spans="1:22">
      <c r="A50" s="374"/>
      <c r="B50" s="381" t="s">
        <v>2784</v>
      </c>
      <c r="C50" s="376">
        <f t="shared" si="16"/>
        <v>0</v>
      </c>
      <c r="D50" s="376">
        <f t="shared" si="17"/>
        <v>0</v>
      </c>
      <c r="E50" s="376">
        <f t="shared" si="18"/>
        <v>0</v>
      </c>
      <c r="F50" s="376">
        <f t="shared" si="19"/>
        <v>0</v>
      </c>
      <c r="G50" s="377">
        <f t="shared" si="8"/>
        <v>0</v>
      </c>
      <c r="H50" s="371" t="e">
        <f t="shared" si="4"/>
        <v>#DIV/0!</v>
      </c>
      <c r="I50" s="376">
        <f>COUNTIF(开!$BM$8:$BM$213,"政府"&amp;$B50)+COUNTIF('续 '!$BH$8:$BH$198,"政府"&amp;$B50)+COUNTIF(竣!$BI$26:$BI$130,"政府"&amp;$B50)</f>
        <v>0</v>
      </c>
      <c r="J50" s="376">
        <f>SUMIF(开!$BM$8:$BM$213,"政府"&amp;$B50,开!$F$8:$F$213)+SUMIF('续 '!$BH$8:$BH$198,"政府"&amp;$B50,'续 '!$F$8:$F$198)+SUMIF(竣!$BI$26:$BI$130,"政府"&amp;$B50,竣!$F$26:$F$130)</f>
        <v>0</v>
      </c>
      <c r="K50" s="376">
        <f>SUMIF('续 '!$BH$8:$BH$198,"政府"&amp;$B50,'续 '!$G$8:$G$198)+SUMIF(竣!$BI$26:$BI$130,"政府"&amp;$B50,竣!$G$26:$G$130)</f>
        <v>0</v>
      </c>
      <c r="L50" s="376">
        <f>SUMIF(开!$BM$8:$BM$213,"政府"&amp;$B50,开!$L$8:$L$213)+SUMIF('续 '!$BH$8:$BH$198,"政府"&amp;$B50,'续 '!$L$8:$L$198)+SUMIF(竣!$BI$26:$BI$130,"政府"&amp;$B50,竣!$L$26:$L$130)</f>
        <v>0</v>
      </c>
      <c r="M50" s="403" t="e">
        <f t="shared" si="24"/>
        <v>#DIV/0!</v>
      </c>
      <c r="N50" s="376">
        <f>SUMIF(开!$BM$8:$BM$213,"政府"&amp;$B50,开!$P$8:$P$213)+SUMIF('续 '!$BH$8:$BH$198,"政府"&amp;$B50,'续 '!$O$8:$O$198)+SUMIF(竣!$BI$26:$BI$130,"政府"&amp;$B50,竣!$O$26:$O$130)</f>
        <v>0</v>
      </c>
      <c r="O50" s="403" t="e">
        <f t="shared" si="5"/>
        <v>#DIV/0!</v>
      </c>
      <c r="P50" s="376">
        <f>COUNTIF(开!$BM$8:$BM$213,"企业"&amp;$B50)+COUNTIF('续 '!$BH$8:$BH$198,"企业"&amp;$B50)+COUNTIF(竣!$BI$26:$BI$130,"企业"&amp;$B50)</f>
        <v>0</v>
      </c>
      <c r="Q50" s="376">
        <f>SUMIF(开!$BM$8:$BM$213,"企业"&amp;$B50,开!$F$8:$F$213)+SUMIF('续 '!$BH$8:$BH$198,"企业"&amp;$B50,'续 '!$F$8:$F$198)+SUMIF(竣!$BI$26:$BI$130,"企业"&amp;$B50,竣!$F$26:$F$130)</f>
        <v>0</v>
      </c>
      <c r="R50" s="376">
        <f>SUMIF('续 '!$BH$8:$BH$198,"企业"&amp;$B50,'续 '!$G$8:$G$198)+SUMIF(竣!$BI$26:$BI$130,"企业"&amp;$B50,竣!$G$26:$G$130)</f>
        <v>0</v>
      </c>
      <c r="S50" s="376">
        <f>SUMIF(开!$BM$8:$BM$213,"企业"&amp;$B50,开!$L$8:$L$213)+SUMIF('续 '!$BH$8:$BH$198,"企业"&amp;$B50,'续 '!$L$8:$L$198)+SUMIF(竣!$BI$26:$BI$130,"企业"&amp;$B50,竣!$L$26:$L$130)</f>
        <v>0</v>
      </c>
      <c r="T50" s="403" t="e">
        <f t="shared" si="25"/>
        <v>#DIV/0!</v>
      </c>
      <c r="U50" s="376">
        <f>SUMIF(开!$BM$8:$BM$213,"企业"&amp;$B50,开!$P$8:$P$213)+SUMIF('续 '!$BH$8:$BH$198,"企业"&amp;$B50,'续 '!$O$8:$O$198)+SUMIF(竣!$BI$26:$BI$130,"企业"&amp;$B50,竣!$O$26:$O$130)</f>
        <v>0</v>
      </c>
      <c r="V50" s="403" t="e">
        <f t="shared" si="6"/>
        <v>#DIV/0!</v>
      </c>
    </row>
    <row r="51" s="334" customFormat="1" ht="25.15" customHeight="1" spans="1:22">
      <c r="A51" s="374">
        <v>27</v>
      </c>
      <c r="B51" s="381" t="s">
        <v>464</v>
      </c>
      <c r="C51" s="376">
        <f t="shared" si="16"/>
        <v>4</v>
      </c>
      <c r="D51" s="376">
        <f t="shared" si="17"/>
        <v>39688</v>
      </c>
      <c r="E51" s="376">
        <f t="shared" si="18"/>
        <v>0</v>
      </c>
      <c r="F51" s="376">
        <f t="shared" si="19"/>
        <v>15700</v>
      </c>
      <c r="G51" s="377">
        <f t="shared" si="8"/>
        <v>0</v>
      </c>
      <c r="H51" s="371">
        <f t="shared" si="4"/>
        <v>0</v>
      </c>
      <c r="I51" s="376">
        <f>COUNTIF(开!$BM$8:$BM$213,"政府"&amp;$B51)+COUNTIF('续 '!$BH$8:$BH$198,"政府"&amp;$B51)+COUNTIF(竣!$BI$26:$BI$130,"政府"&amp;$B51)</f>
        <v>4</v>
      </c>
      <c r="J51" s="376">
        <f>SUMIF(开!$BM$8:$BM$213,"政府"&amp;$B51,开!$F$8:$F$213)+SUMIF('续 '!$BH$8:$BH$198,"政府"&amp;$B51,'续 '!$F$8:$F$198)+SUMIF(竣!$BI$26:$BI$130,"政府"&amp;$B51,竣!$F$26:$F$130)</f>
        <v>39688</v>
      </c>
      <c r="K51" s="376">
        <f>SUMIF('续 '!$BH$8:$BH$198,"政府"&amp;$B51,'续 '!$G$8:$G$198)+SUMIF(竣!$BI$26:$BI$130,"政府"&amp;$B51,竣!$G$26:$G$130)</f>
        <v>0</v>
      </c>
      <c r="L51" s="376">
        <f>SUMIF(开!$BM$8:$BM$213,"政府"&amp;$B51,开!$L$8:$L$213)+SUMIF('续 '!$BH$8:$BH$198,"政府"&amp;$B51,'续 '!$L$8:$L$198)+SUMIF(竣!$BI$26:$BI$130,"政府"&amp;$B51,竣!$L$26:$L$130)</f>
        <v>15700</v>
      </c>
      <c r="M51" s="403">
        <f t="shared" si="24"/>
        <v>1</v>
      </c>
      <c r="N51" s="376">
        <f>SUMIF(开!$BM$8:$BM$213,"政府"&amp;$B51,开!$P$8:$P$213)+SUMIF('续 '!$BH$8:$BH$198,"政府"&amp;$B51,'续 '!$O$8:$O$198)+SUMIF(竣!$BI$26:$BI$130,"政府"&amp;$B51,竣!$O$26:$O$130)</f>
        <v>0</v>
      </c>
      <c r="O51" s="403">
        <f t="shared" si="5"/>
        <v>0</v>
      </c>
      <c r="P51" s="376">
        <f>COUNTIF(开!$BM$8:$BM$213,"企业"&amp;$B51)+COUNTIF('续 '!$BH$8:$BH$198,"企业"&amp;$B51)+COUNTIF(竣!$BI$26:$BI$130,"企业"&amp;$B51)</f>
        <v>0</v>
      </c>
      <c r="Q51" s="376">
        <f>SUMIF(开!$BM$8:$BM$213,"企业"&amp;$B51,开!$F$8:$F$213)+SUMIF('续 '!$BH$8:$BH$198,"企业"&amp;$B51,'续 '!$F$8:$F$198)+SUMIF(竣!$BI$26:$BI$130,"企业"&amp;$B51,竣!$F$26:$F$130)</f>
        <v>0</v>
      </c>
      <c r="R51" s="376">
        <f>SUMIF('续 '!$BH$8:$BH$198,"企业"&amp;$B51,'续 '!$G$8:$G$198)+SUMIF(竣!$BI$26:$BI$130,"企业"&amp;$B51,竣!$G$26:$G$130)</f>
        <v>0</v>
      </c>
      <c r="S51" s="376">
        <f>SUMIF(开!$BM$8:$BM$213,"企业"&amp;$B51,开!$L$8:$L$213)+SUMIF('续 '!$BH$8:$BH$198,"企业"&amp;$B51,'续 '!$L$8:$L$198)+SUMIF(竣!$BI$26:$BI$130,"企业"&amp;$B51,竣!$L$26:$L$130)</f>
        <v>0</v>
      </c>
      <c r="T51" s="403">
        <f t="shared" si="25"/>
        <v>0</v>
      </c>
      <c r="U51" s="376">
        <f>SUMIF(开!$BM$8:$BM$213,"企业"&amp;$B51,开!$P$8:$P$213)+SUMIF('续 '!$BH$8:$BH$198,"企业"&amp;$B51,'续 '!$O$8:$O$198)+SUMIF(竣!$BI$26:$BI$130,"企业"&amp;$B51,竣!$O$26:$O$130)</f>
        <v>0</v>
      </c>
      <c r="V51" s="403" t="e">
        <f t="shared" si="6"/>
        <v>#DIV/0!</v>
      </c>
    </row>
    <row r="52" s="334" customFormat="1" ht="25.15" customHeight="1" spans="1:22">
      <c r="A52" s="374"/>
      <c r="B52" s="381" t="s">
        <v>2785</v>
      </c>
      <c r="C52" s="376">
        <f t="shared" si="16"/>
        <v>0</v>
      </c>
      <c r="D52" s="376">
        <f t="shared" si="17"/>
        <v>0</v>
      </c>
      <c r="E52" s="376">
        <f t="shared" si="18"/>
        <v>0</v>
      </c>
      <c r="F52" s="376">
        <f t="shared" si="19"/>
        <v>0</v>
      </c>
      <c r="G52" s="377">
        <f t="shared" si="8"/>
        <v>0</v>
      </c>
      <c r="H52" s="371" t="e">
        <f t="shared" si="4"/>
        <v>#DIV/0!</v>
      </c>
      <c r="I52" s="376">
        <f>COUNTIF(开!$BM$8:$BM$213,"政府"&amp;$B52)+COUNTIF('续 '!$BH$8:$BH$198,"政府"&amp;$B52)+COUNTIF(竣!$BI$26:$BI$130,"政府"&amp;$B52)</f>
        <v>0</v>
      </c>
      <c r="J52" s="376">
        <f>SUMIF(开!$BM$8:$BM$213,"政府"&amp;$B52,开!$F$8:$F$213)+SUMIF('续 '!$BH$8:$BH$198,"政府"&amp;$B52,'续 '!$F$8:$F$198)+SUMIF(竣!$BI$26:$BI$130,"政府"&amp;$B52,竣!$F$26:$F$130)</f>
        <v>0</v>
      </c>
      <c r="K52" s="376">
        <f>SUMIF('续 '!$BH$8:$BH$198,"政府"&amp;$B52,'续 '!$G$8:$G$198)+SUMIF(竣!$BI$26:$BI$130,"政府"&amp;$B52,竣!$G$26:$G$130)</f>
        <v>0</v>
      </c>
      <c r="L52" s="376">
        <f>SUMIF(开!$BM$8:$BM$213,"政府"&amp;$B52,开!$L$8:$L$213)+SUMIF('续 '!$BH$8:$BH$198,"政府"&amp;$B52,'续 '!$L$8:$L$198)+SUMIF(竣!$BI$26:$BI$130,"政府"&amp;$B52,竣!$L$26:$L$130)</f>
        <v>0</v>
      </c>
      <c r="M52" s="403" t="e">
        <f t="shared" si="24"/>
        <v>#DIV/0!</v>
      </c>
      <c r="N52" s="376">
        <f>SUMIF(开!$BM$8:$BM$213,"政府"&amp;$B52,开!$P$8:$P$213)+SUMIF('续 '!$BH$8:$BH$198,"政府"&amp;$B52,'续 '!$O$8:$O$198)+SUMIF(竣!$BI$26:$BI$130,"政府"&amp;$B52,竣!$O$26:$O$130)</f>
        <v>0</v>
      </c>
      <c r="O52" s="403" t="e">
        <f t="shared" si="5"/>
        <v>#DIV/0!</v>
      </c>
      <c r="P52" s="376">
        <f>COUNTIF(开!$BM$8:$BM$213,"企业"&amp;$B52)+COUNTIF('续 '!$BH$8:$BH$198,"企业"&amp;$B52)+COUNTIF(竣!$BI$26:$BI$130,"企业"&amp;$B52)</f>
        <v>0</v>
      </c>
      <c r="Q52" s="376">
        <f>SUMIF(开!$BM$8:$BM$213,"企业"&amp;$B52,开!$F$8:$F$213)+SUMIF('续 '!$BH$8:$BH$198,"企业"&amp;$B52,'续 '!$F$8:$F$198)+SUMIF(竣!$BI$26:$BI$130,"企业"&amp;$B52,竣!$F$26:$F$130)</f>
        <v>0</v>
      </c>
      <c r="R52" s="376">
        <f>SUMIF('续 '!$BH$8:$BH$198,"企业"&amp;$B52,'续 '!$G$8:$G$198)+SUMIF(竣!$BI$26:$BI$130,"企业"&amp;$B52,竣!$G$26:$G$130)</f>
        <v>0</v>
      </c>
      <c r="S52" s="376">
        <f>SUMIF(开!$BM$8:$BM$213,"企业"&amp;$B52,开!$L$8:$L$213)+SUMIF('续 '!$BH$8:$BH$198,"企业"&amp;$B52,'续 '!$L$8:$L$198)+SUMIF(竣!$BI$26:$BI$130,"企业"&amp;$B52,竣!$L$26:$L$130)</f>
        <v>0</v>
      </c>
      <c r="T52" s="403" t="e">
        <f t="shared" si="25"/>
        <v>#DIV/0!</v>
      </c>
      <c r="U52" s="376">
        <f>SUMIF(开!$BM$8:$BM$213,"企业"&amp;$B52,开!$P$8:$P$213)+SUMIF('续 '!$BH$8:$BH$198,"企业"&amp;$B52,'续 '!$O$8:$O$198)+SUMIF(竣!$BI$26:$BI$130,"企业"&amp;$B52,竣!$O$26:$O$130)</f>
        <v>0</v>
      </c>
      <c r="V52" s="403" t="e">
        <f t="shared" si="6"/>
        <v>#DIV/0!</v>
      </c>
    </row>
    <row r="53" s="334" customFormat="1" ht="25.15" customHeight="1" spans="1:22">
      <c r="A53" s="374"/>
      <c r="B53" s="381" t="s">
        <v>2786</v>
      </c>
      <c r="C53" s="376">
        <f t="shared" si="16"/>
        <v>0</v>
      </c>
      <c r="D53" s="376">
        <f t="shared" si="17"/>
        <v>0</v>
      </c>
      <c r="E53" s="376">
        <f t="shared" si="18"/>
        <v>0</v>
      </c>
      <c r="F53" s="376">
        <f t="shared" si="19"/>
        <v>0</v>
      </c>
      <c r="G53" s="377">
        <f t="shared" si="8"/>
        <v>0</v>
      </c>
      <c r="H53" s="371" t="e">
        <f t="shared" si="4"/>
        <v>#DIV/0!</v>
      </c>
      <c r="I53" s="376">
        <f>COUNTIF(开!$BM$8:$BM$213,"政府"&amp;$B53)+COUNTIF('续 '!$BH$8:$BH$198,"政府"&amp;$B53)+COUNTIF(竣!$BI$26:$BI$130,"政府"&amp;$B53)</f>
        <v>0</v>
      </c>
      <c r="J53" s="376">
        <f>SUMIF(开!$BM$8:$BM$213,"政府"&amp;$B53,开!$F$8:$F$213)+SUMIF('续 '!$BH$8:$BH$198,"政府"&amp;$B53,'续 '!$F$8:$F$198)+SUMIF(竣!$BI$26:$BI$130,"政府"&amp;$B53,竣!$F$26:$F$130)</f>
        <v>0</v>
      </c>
      <c r="K53" s="376">
        <f>SUMIF('续 '!$BH$8:$BH$198,"政府"&amp;$B53,'续 '!$G$8:$G$198)+SUMIF(竣!$BI$26:$BI$130,"政府"&amp;$B53,竣!$G$26:$G$130)</f>
        <v>0</v>
      </c>
      <c r="L53" s="376">
        <f>SUMIF(开!$BM$8:$BM$213,"政府"&amp;$B53,开!$L$8:$L$213)+SUMIF('续 '!$BH$8:$BH$198,"政府"&amp;$B53,'续 '!$L$8:$L$198)+SUMIF(竣!$BI$26:$BI$130,"政府"&amp;$B53,竣!$L$26:$L$130)</f>
        <v>0</v>
      </c>
      <c r="M53" s="403" t="e">
        <f t="shared" si="24"/>
        <v>#DIV/0!</v>
      </c>
      <c r="N53" s="376">
        <f>SUMIF(开!$BM$8:$BM$213,"政府"&amp;$B53,开!$P$8:$P$213)+SUMIF('续 '!$BH$8:$BH$198,"政府"&amp;$B53,'续 '!$O$8:$O$198)+SUMIF(竣!$BI$26:$BI$130,"政府"&amp;$B53,竣!$O$26:$O$130)</f>
        <v>0</v>
      </c>
      <c r="O53" s="403" t="e">
        <f t="shared" si="5"/>
        <v>#DIV/0!</v>
      </c>
      <c r="P53" s="376">
        <f>COUNTIF(开!$BM$8:$BM$213,"企业"&amp;$B53)+COUNTIF('续 '!$BH$8:$BH$198,"企业"&amp;$B53)+COUNTIF(竣!$BI$26:$BI$130,"企业"&amp;$B53)</f>
        <v>0</v>
      </c>
      <c r="Q53" s="376">
        <f>SUMIF(开!$BM$8:$BM$213,"企业"&amp;$B53,开!$F$8:$F$213)+SUMIF('续 '!$BH$8:$BH$198,"企业"&amp;$B53,'续 '!$F$8:$F$198)+SUMIF(竣!$BI$26:$BI$130,"企业"&amp;$B53,竣!$F$26:$F$130)</f>
        <v>0</v>
      </c>
      <c r="R53" s="376">
        <f>SUMIF('续 '!$BH$8:$BH$198,"企业"&amp;$B53,'续 '!$G$8:$G$198)+SUMIF(竣!$BI$26:$BI$130,"企业"&amp;$B53,竣!$G$26:$G$130)</f>
        <v>0</v>
      </c>
      <c r="S53" s="376">
        <f>SUMIF(开!$BM$8:$BM$213,"企业"&amp;$B53,开!$L$8:$L$213)+SUMIF('续 '!$BH$8:$BH$198,"企业"&amp;$B53,'续 '!$L$8:$L$198)+SUMIF(竣!$BI$26:$BI$130,"企业"&amp;$B53,竣!$L$26:$L$130)</f>
        <v>0</v>
      </c>
      <c r="T53" s="403" t="e">
        <f t="shared" si="25"/>
        <v>#DIV/0!</v>
      </c>
      <c r="U53" s="376">
        <f>SUMIF(开!$BM$8:$BM$213,"企业"&amp;$B53,开!$P$8:$P$213)+SUMIF('续 '!$BH$8:$BH$198,"企业"&amp;$B53,'续 '!$O$8:$O$198)+SUMIF(竣!$BI$26:$BI$130,"企业"&amp;$B53,竣!$O$26:$O$130)</f>
        <v>0</v>
      </c>
      <c r="V53" s="403" t="e">
        <f t="shared" si="6"/>
        <v>#DIV/0!</v>
      </c>
    </row>
    <row r="54" s="334" customFormat="1" ht="30" customHeight="1" spans="1:22">
      <c r="A54" s="374"/>
      <c r="B54" s="381" t="s">
        <v>2787</v>
      </c>
      <c r="C54" s="376">
        <f t="shared" si="16"/>
        <v>0</v>
      </c>
      <c r="D54" s="376">
        <f t="shared" si="17"/>
        <v>0</v>
      </c>
      <c r="E54" s="376">
        <f t="shared" si="18"/>
        <v>0</v>
      </c>
      <c r="F54" s="376">
        <f t="shared" si="19"/>
        <v>0</v>
      </c>
      <c r="G54" s="377">
        <f t="shared" si="8"/>
        <v>0</v>
      </c>
      <c r="H54" s="371" t="e">
        <f t="shared" si="4"/>
        <v>#DIV/0!</v>
      </c>
      <c r="I54" s="376">
        <f>COUNTIF(开!$BM$8:$BM$213,"政府"&amp;$B54)+COUNTIF('续 '!$BH$8:$BH$198,"政府"&amp;$B54)+COUNTIF(竣!$BI$26:$BI$130,"政府"&amp;$B54)</f>
        <v>0</v>
      </c>
      <c r="J54" s="376">
        <f>SUMIF(开!$BM$8:$BM$213,"政府"&amp;$B54,开!$F$8:$F$213)+SUMIF('续 '!$BH$8:$BH$198,"政府"&amp;$B54,'续 '!$F$8:$F$198)+SUMIF(竣!$BI$26:$BI$130,"政府"&amp;$B54,竣!$F$26:$F$130)</f>
        <v>0</v>
      </c>
      <c r="K54" s="376">
        <f>SUMIF('续 '!$BH$8:$BH$198,"政府"&amp;$B54,'续 '!$G$8:$G$198)+SUMIF(竣!$BI$26:$BI$130,"政府"&amp;$B54,竣!$G$26:$G$130)</f>
        <v>0</v>
      </c>
      <c r="L54" s="376">
        <f>SUMIF(开!$BM$8:$BM$213,"政府"&amp;$B54,开!$L$8:$L$213)+SUMIF('续 '!$BH$8:$BH$198,"政府"&amp;$B54,'续 '!$L$8:$L$198)+SUMIF(竣!$BI$26:$BI$130,"政府"&amp;$B54,竣!$L$26:$L$130)</f>
        <v>0</v>
      </c>
      <c r="M54" s="403" t="e">
        <f t="shared" si="24"/>
        <v>#DIV/0!</v>
      </c>
      <c r="N54" s="376">
        <f>SUMIF(开!$BM$8:$BM$213,"政府"&amp;$B54,开!$P$8:$P$213)+SUMIF('续 '!$BH$8:$BH$198,"政府"&amp;$B54,'续 '!$O$8:$O$198)+SUMIF(竣!$BI$26:$BI$130,"政府"&amp;$B54,竣!$O$26:$O$130)</f>
        <v>0</v>
      </c>
      <c r="O54" s="403" t="e">
        <f t="shared" si="5"/>
        <v>#DIV/0!</v>
      </c>
      <c r="P54" s="376">
        <f>COUNTIF(开!$BM$8:$BM$213,"企业"&amp;$B54)+COUNTIF('续 '!$BH$8:$BH$198,"企业"&amp;$B54)+COUNTIF(竣!$BI$26:$BI$130,"企业"&amp;$B54)</f>
        <v>0</v>
      </c>
      <c r="Q54" s="376">
        <f>SUMIF(开!$BM$8:$BM$213,"企业"&amp;$B54,开!$F$8:$F$213)+SUMIF('续 '!$BH$8:$BH$198,"企业"&amp;$B54,'续 '!$F$8:$F$198)+SUMIF(竣!$BI$26:$BI$130,"企业"&amp;$B54,竣!$F$26:$F$130)</f>
        <v>0</v>
      </c>
      <c r="R54" s="376">
        <f>SUMIF('续 '!$BH$8:$BH$198,"企业"&amp;$B54,'续 '!$G$8:$G$198)+SUMIF(竣!$BI$26:$BI$130,"企业"&amp;$B54,竣!$G$26:$G$130)</f>
        <v>0</v>
      </c>
      <c r="S54" s="376">
        <f>SUMIF(开!$BM$8:$BM$213,"企业"&amp;$B54,开!$L$8:$L$213)+SUMIF('续 '!$BH$8:$BH$198,"企业"&amp;$B54,'续 '!$L$8:$L$198)+SUMIF(竣!$BI$26:$BI$130,"企业"&amp;$B54,竣!$L$26:$L$130)</f>
        <v>0</v>
      </c>
      <c r="T54" s="403" t="e">
        <f t="shared" si="25"/>
        <v>#DIV/0!</v>
      </c>
      <c r="U54" s="376">
        <f>SUMIF(开!$BM$8:$BM$213,"企业"&amp;$B54,开!$P$8:$P$213)+SUMIF('续 '!$BH$8:$BH$198,"企业"&amp;$B54,'续 '!$O$8:$O$198)+SUMIF(竣!$BI$26:$BI$130,"企业"&amp;$B54,竣!$O$26:$O$130)</f>
        <v>0</v>
      </c>
      <c r="V54" s="403" t="e">
        <f t="shared" si="6"/>
        <v>#DIV/0!</v>
      </c>
    </row>
    <row r="55" s="334" customFormat="1" ht="25.15" customHeight="1" spans="1:22">
      <c r="A55" s="374"/>
      <c r="B55" s="381" t="s">
        <v>2788</v>
      </c>
      <c r="C55" s="376">
        <f t="shared" si="16"/>
        <v>0</v>
      </c>
      <c r="D55" s="376">
        <f t="shared" si="17"/>
        <v>0</v>
      </c>
      <c r="E55" s="376">
        <f t="shared" si="18"/>
        <v>0</v>
      </c>
      <c r="F55" s="376">
        <f t="shared" si="19"/>
        <v>0</v>
      </c>
      <c r="G55" s="377">
        <f t="shared" si="8"/>
        <v>0</v>
      </c>
      <c r="H55" s="371" t="e">
        <f t="shared" si="4"/>
        <v>#DIV/0!</v>
      </c>
      <c r="I55" s="376">
        <f>COUNTIF(开!$BM$8:$BM$213,"政府"&amp;$B55)+COUNTIF('续 '!$BH$8:$BH$198,"政府"&amp;$B55)+COUNTIF(竣!$BI$26:$BI$130,"政府"&amp;$B55)</f>
        <v>0</v>
      </c>
      <c r="J55" s="376">
        <f>SUMIF(开!$BM$8:$BM$213,"政府"&amp;$B55,开!$F$8:$F$213)+SUMIF('续 '!$BH$8:$BH$198,"政府"&amp;$B55,'续 '!$F$8:$F$198)+SUMIF(竣!$BI$26:$BI$130,"政府"&amp;$B55,竣!$F$26:$F$130)</f>
        <v>0</v>
      </c>
      <c r="K55" s="376">
        <f>SUMIF('续 '!$BH$8:$BH$198,"政府"&amp;$B55,'续 '!$G$8:$G$198)+SUMIF(竣!$BI$26:$BI$130,"政府"&amp;$B55,竣!$G$26:$G$130)</f>
        <v>0</v>
      </c>
      <c r="L55" s="376">
        <f>SUMIF(开!$BM$8:$BM$213,"政府"&amp;$B55,开!$L$8:$L$213)+SUMIF('续 '!$BH$8:$BH$198,"政府"&amp;$B55,'续 '!$L$8:$L$198)+SUMIF(竣!$BI$26:$BI$130,"政府"&amp;$B55,竣!$L$26:$L$130)</f>
        <v>0</v>
      </c>
      <c r="M55" s="403" t="e">
        <f t="shared" si="24"/>
        <v>#DIV/0!</v>
      </c>
      <c r="N55" s="376">
        <f>SUMIF(开!$BM$8:$BM$213,"政府"&amp;$B55,开!$P$8:$P$213)+SUMIF('续 '!$BH$8:$BH$198,"政府"&amp;$B55,'续 '!$O$8:$O$198)+SUMIF(竣!$BI$26:$BI$130,"政府"&amp;$B55,竣!$O$26:$O$130)</f>
        <v>0</v>
      </c>
      <c r="O55" s="403" t="e">
        <f t="shared" si="5"/>
        <v>#DIV/0!</v>
      </c>
      <c r="P55" s="376">
        <f>COUNTIF(开!$BM$8:$BM$213,"企业"&amp;$B55)+COUNTIF('续 '!$BH$8:$BH$198,"企业"&amp;$B55)+COUNTIF(竣!$BI$26:$BI$130,"企业"&amp;$B55)</f>
        <v>0</v>
      </c>
      <c r="Q55" s="376">
        <f>SUMIF(开!$BM$8:$BM$213,"企业"&amp;$B55,开!$F$8:$F$213)+SUMIF('续 '!$BH$8:$BH$198,"企业"&amp;$B55,'续 '!$F$8:$F$198)+SUMIF(竣!$BI$26:$BI$130,"企业"&amp;$B55,竣!$F$26:$F$130)</f>
        <v>0</v>
      </c>
      <c r="R55" s="376">
        <f>SUMIF('续 '!$BH$8:$BH$198,"企业"&amp;$B55,'续 '!$G$8:$G$198)+SUMIF(竣!$BI$26:$BI$130,"企业"&amp;$B55,竣!$G$26:$G$130)</f>
        <v>0</v>
      </c>
      <c r="S55" s="376">
        <f>SUMIF(开!$BM$8:$BM$213,"企业"&amp;$B55,开!$L$8:$L$213)+SUMIF('续 '!$BH$8:$BH$198,"企业"&amp;$B55,'续 '!$L$8:$L$198)+SUMIF(竣!$BI$26:$BI$130,"企业"&amp;$B55,竣!$L$26:$L$130)</f>
        <v>0</v>
      </c>
      <c r="T55" s="403" t="e">
        <f t="shared" si="25"/>
        <v>#DIV/0!</v>
      </c>
      <c r="U55" s="376">
        <f>SUMIF(开!$BM$8:$BM$213,"企业"&amp;$B55,开!$P$8:$P$213)+SUMIF('续 '!$BH$8:$BH$198,"企业"&amp;$B55,'续 '!$O$8:$O$198)+SUMIF(竣!$BI$26:$BI$130,"企业"&amp;$B55,竣!$O$26:$O$130)</f>
        <v>0</v>
      </c>
      <c r="V55" s="403" t="e">
        <f t="shared" si="6"/>
        <v>#DIV/0!</v>
      </c>
    </row>
    <row r="56" s="334" customFormat="1" ht="30" customHeight="1" spans="1:22">
      <c r="A56" s="374"/>
      <c r="B56" s="381" t="s">
        <v>2789</v>
      </c>
      <c r="C56" s="376">
        <f t="shared" si="16"/>
        <v>0</v>
      </c>
      <c r="D56" s="376">
        <f t="shared" si="17"/>
        <v>0</v>
      </c>
      <c r="E56" s="376">
        <f t="shared" si="18"/>
        <v>0</v>
      </c>
      <c r="F56" s="376">
        <f t="shared" si="19"/>
        <v>0</v>
      </c>
      <c r="G56" s="377">
        <f t="shared" si="8"/>
        <v>0</v>
      </c>
      <c r="H56" s="371" t="e">
        <f t="shared" si="4"/>
        <v>#DIV/0!</v>
      </c>
      <c r="I56" s="376">
        <f>COUNTIF(开!$BM$8:$BM$213,"政府"&amp;$B56)+COUNTIF('续 '!$BH$8:$BH$198,"政府"&amp;$B56)+COUNTIF(竣!$BI$26:$BI$130,"政府"&amp;$B56)</f>
        <v>0</v>
      </c>
      <c r="J56" s="376">
        <f>SUMIF(开!$BM$8:$BM$213,"政府"&amp;$B56,开!$F$8:$F$213)+SUMIF('续 '!$BH$8:$BH$198,"政府"&amp;$B56,'续 '!$F$8:$F$198)+SUMIF(竣!$BI$26:$BI$130,"政府"&amp;$B56,竣!$F$26:$F$130)</f>
        <v>0</v>
      </c>
      <c r="K56" s="376">
        <f>SUMIF('续 '!$BH$8:$BH$198,"政府"&amp;$B56,'续 '!$G$8:$G$198)+SUMIF(竣!$BI$26:$BI$130,"政府"&amp;$B56,竣!$G$26:$G$130)</f>
        <v>0</v>
      </c>
      <c r="L56" s="376">
        <f>SUMIF(开!$BM$8:$BM$213,"政府"&amp;$B56,开!$L$8:$L$213)+SUMIF('续 '!$BH$8:$BH$198,"政府"&amp;$B56,'续 '!$L$8:$L$198)+SUMIF(竣!$BI$26:$BI$130,"政府"&amp;$B56,竣!$L$26:$L$130)</f>
        <v>0</v>
      </c>
      <c r="M56" s="403" t="e">
        <f t="shared" si="24"/>
        <v>#DIV/0!</v>
      </c>
      <c r="N56" s="376">
        <f>SUMIF(开!$BM$8:$BM$213,"政府"&amp;$B56,开!$P$8:$P$213)+SUMIF('续 '!$BH$8:$BH$198,"政府"&amp;$B56,'续 '!$O$8:$O$198)+SUMIF(竣!$BI$26:$BI$130,"政府"&amp;$B56,竣!$O$26:$O$130)</f>
        <v>0</v>
      </c>
      <c r="O56" s="403" t="e">
        <f t="shared" si="5"/>
        <v>#DIV/0!</v>
      </c>
      <c r="P56" s="376">
        <f>COUNTIF(开!$BM$8:$BM$213,"企业"&amp;$B56)+COUNTIF('续 '!$BH$8:$BH$198,"企业"&amp;$B56)+COUNTIF(竣!$BI$26:$BI$130,"企业"&amp;$B56)</f>
        <v>0</v>
      </c>
      <c r="Q56" s="376">
        <f>SUMIF(开!$BM$8:$BM$213,"企业"&amp;$B56,开!$F$8:$F$213)+SUMIF('续 '!$BH$8:$BH$198,"企业"&amp;$B56,'续 '!$F$8:$F$198)+SUMIF(竣!$BI$26:$BI$130,"企业"&amp;$B56,竣!$F$26:$F$130)</f>
        <v>0</v>
      </c>
      <c r="R56" s="376">
        <f>SUMIF('续 '!$BH$8:$BH$198,"企业"&amp;$B56,'续 '!$G$8:$G$198)+SUMIF(竣!$BI$26:$BI$130,"企业"&amp;$B56,竣!$G$26:$G$130)</f>
        <v>0</v>
      </c>
      <c r="S56" s="376">
        <f>SUMIF(开!$BM$8:$BM$213,"企业"&amp;$B56,开!$L$8:$L$213)+SUMIF('续 '!$BH$8:$BH$198,"企业"&amp;$B56,'续 '!$L$8:$L$198)+SUMIF(竣!$BI$26:$BI$130,"企业"&amp;$B56,竣!$L$26:$L$130)</f>
        <v>0</v>
      </c>
      <c r="T56" s="403" t="e">
        <f t="shared" si="25"/>
        <v>#DIV/0!</v>
      </c>
      <c r="U56" s="376">
        <f>SUMIF(开!$BM$8:$BM$213,"企业"&amp;$B56,开!$P$8:$P$213)+SUMIF('续 '!$BH$8:$BH$198,"企业"&amp;$B56,'续 '!$O$8:$O$198)+SUMIF(竣!$BI$26:$BI$130,"企业"&amp;$B56,竣!$O$26:$O$130)</f>
        <v>0</v>
      </c>
      <c r="V56" s="403" t="e">
        <f t="shared" si="6"/>
        <v>#DIV/0!</v>
      </c>
    </row>
    <row r="57" s="334" customFormat="1" ht="25.15" customHeight="1" spans="1:22">
      <c r="A57" s="374">
        <v>28</v>
      </c>
      <c r="B57" s="381" t="s">
        <v>720</v>
      </c>
      <c r="C57" s="376">
        <f t="shared" si="16"/>
        <v>1</v>
      </c>
      <c r="D57" s="376">
        <f t="shared" si="17"/>
        <v>25000</v>
      </c>
      <c r="E57" s="376">
        <f t="shared" si="18"/>
        <v>1500</v>
      </c>
      <c r="F57" s="376">
        <f t="shared" si="19"/>
        <v>2500</v>
      </c>
      <c r="G57" s="377">
        <f t="shared" si="8"/>
        <v>0</v>
      </c>
      <c r="H57" s="371">
        <f t="shared" si="4"/>
        <v>0</v>
      </c>
      <c r="I57" s="376">
        <f>COUNTIF(开!$BM$8:$BM$213,"政府"&amp;$B57)+COUNTIF('续 '!$BH$8:$BH$198,"政府"&amp;$B57)+COUNTIF(竣!$BI$26:$BI$130,"政府"&amp;$B57)</f>
        <v>1</v>
      </c>
      <c r="J57" s="376">
        <f>SUMIF(开!$BM$8:$BM$213,"政府"&amp;$B57,开!$F$8:$F$213)+SUMIF('续 '!$BH$8:$BH$198,"政府"&amp;$B57,'续 '!$F$8:$F$198)+SUMIF(竣!$BI$26:$BI$130,"政府"&amp;$B57,竣!$F$26:$F$130)</f>
        <v>25000</v>
      </c>
      <c r="K57" s="376">
        <f>SUMIF('续 '!$BH$8:$BH$198,"政府"&amp;$B57,'续 '!$G$8:$G$198)+SUMIF(竣!$BI$26:$BI$130,"政府"&amp;$B57,竣!$G$26:$G$130)</f>
        <v>1500</v>
      </c>
      <c r="L57" s="376">
        <f>SUMIF(开!$BM$8:$BM$213,"政府"&amp;$B57,开!$L$8:$L$213)+SUMIF('续 '!$BH$8:$BH$198,"政府"&amp;$B57,'续 '!$L$8:$L$198)+SUMIF(竣!$BI$26:$BI$130,"政府"&amp;$B57,竣!$L$26:$L$130)</f>
        <v>2500</v>
      </c>
      <c r="M57" s="403">
        <f t="shared" si="24"/>
        <v>1</v>
      </c>
      <c r="N57" s="376">
        <f>SUMIF(开!$BM$8:$BM$213,"政府"&amp;$B57,开!$P$8:$P$213)+SUMIF('续 '!$BH$8:$BH$198,"政府"&amp;$B57,'续 '!$O$8:$O$198)+SUMIF(竣!$BI$26:$BI$130,"政府"&amp;$B57,竣!$O$26:$O$130)</f>
        <v>0</v>
      </c>
      <c r="O57" s="403">
        <f t="shared" si="5"/>
        <v>0</v>
      </c>
      <c r="P57" s="376">
        <f>COUNTIF(开!$BM$8:$BM$213,"企业"&amp;$B57)+COUNTIF('续 '!$BH$8:$BH$198,"企业"&amp;$B57)+COUNTIF(竣!$BI$26:$BI$130,"企业"&amp;$B57)</f>
        <v>0</v>
      </c>
      <c r="Q57" s="376">
        <f>SUMIF(开!$BM$8:$BM$213,"企业"&amp;$B57,开!$F$8:$F$213)+SUMIF('续 '!$BH$8:$BH$198,"企业"&amp;$B57,'续 '!$F$8:$F$198)+SUMIF(竣!$BI$26:$BI$130,"企业"&amp;$B57,竣!$F$26:$F$130)</f>
        <v>0</v>
      </c>
      <c r="R57" s="376">
        <f>SUMIF('续 '!$BH$8:$BH$198,"企业"&amp;$B57,'续 '!$G$8:$G$198)+SUMIF(竣!$BI$26:$BI$130,"企业"&amp;$B57,竣!$G$26:$G$130)</f>
        <v>0</v>
      </c>
      <c r="S57" s="376">
        <f>SUMIF(开!$BM$8:$BM$213,"企业"&amp;$B57,开!$L$8:$L$213)+SUMIF('续 '!$BH$8:$BH$198,"企业"&amp;$B57,'续 '!$L$8:$L$198)+SUMIF(竣!$BI$26:$BI$130,"企业"&amp;$B57,竣!$L$26:$L$130)</f>
        <v>0</v>
      </c>
      <c r="T57" s="403">
        <f t="shared" si="25"/>
        <v>0</v>
      </c>
      <c r="U57" s="376">
        <f>SUMIF(开!$BM$8:$BM$213,"企业"&amp;$B57,开!$P$8:$P$213)+SUMIF('续 '!$BH$8:$BH$198,"企业"&amp;$B57,'续 '!$O$8:$O$198)+SUMIF(竣!$BI$26:$BI$130,"企业"&amp;$B57,竣!$O$26:$O$130)</f>
        <v>0</v>
      </c>
      <c r="V57" s="403" t="e">
        <f t="shared" si="6"/>
        <v>#DIV/0!</v>
      </c>
    </row>
    <row r="58" s="334" customFormat="1" ht="25.15" customHeight="1" spans="1:22">
      <c r="A58" s="374"/>
      <c r="B58" s="381" t="s">
        <v>2790</v>
      </c>
      <c r="C58" s="376">
        <f t="shared" ref="C58:F60" si="26">I58+P58</f>
        <v>0</v>
      </c>
      <c r="D58" s="376">
        <f t="shared" si="26"/>
        <v>0</v>
      </c>
      <c r="E58" s="376">
        <f t="shared" si="26"/>
        <v>0</v>
      </c>
      <c r="F58" s="376">
        <f t="shared" si="26"/>
        <v>0</v>
      </c>
      <c r="G58" s="377">
        <f t="shared" si="8"/>
        <v>0</v>
      </c>
      <c r="H58" s="371" t="e">
        <f t="shared" si="4"/>
        <v>#DIV/0!</v>
      </c>
      <c r="I58" s="376">
        <f>COUNTIF(开!$BM$8:$BM$213,"政府"&amp;$B58)+COUNTIF('续 '!$BH$8:$BH$198,"政府"&amp;$B58)+COUNTIF(竣!$BI$26:$BI$130,"政府"&amp;$B58)</f>
        <v>0</v>
      </c>
      <c r="J58" s="376">
        <f>SUMIF(开!$BM$8:$BM$213,"政府"&amp;$B58,开!$F$8:$F$213)+SUMIF('续 '!$BH$8:$BH$198,"政府"&amp;$B58,'续 '!$F$8:$F$198)+SUMIF(竣!$BI$26:$BI$130,"政府"&amp;$B58,竣!$F$26:$F$130)</f>
        <v>0</v>
      </c>
      <c r="K58" s="376">
        <f>SUMIF('续 '!$BH$8:$BH$198,"政府"&amp;$B58,'续 '!$G$8:$G$198)+SUMIF(竣!$BI$26:$BI$130,"政府"&amp;$B58,竣!$G$26:$G$130)</f>
        <v>0</v>
      </c>
      <c r="L58" s="376">
        <f>SUMIF(开!$BM$8:$BM$213,"政府"&amp;$B58,开!$L$8:$L$213)+SUMIF('续 '!$BH$8:$BH$198,"政府"&amp;$B58,'续 '!$L$8:$L$198)+SUMIF(竣!$BI$26:$BI$130,"政府"&amp;$B58,竣!$L$26:$L$130)</f>
        <v>0</v>
      </c>
      <c r="M58" s="403" t="e">
        <f t="shared" si="24"/>
        <v>#DIV/0!</v>
      </c>
      <c r="N58" s="376">
        <f>SUMIF(开!$BM$8:$BM$213,"政府"&amp;$B58,开!$P$8:$P$213)+SUMIF('续 '!$BH$8:$BH$198,"政府"&amp;$B58,'续 '!$O$8:$O$198)+SUMIF(竣!$BI$26:$BI$130,"政府"&amp;$B58,竣!$O$26:$O$130)</f>
        <v>0</v>
      </c>
      <c r="O58" s="403" t="e">
        <f t="shared" si="5"/>
        <v>#DIV/0!</v>
      </c>
      <c r="P58" s="376">
        <f>COUNTIF(开!$BM$8:$BM$213,"企业"&amp;$B58)+COUNTIF('续 '!$BH$8:$BH$198,"企业"&amp;$B58)+COUNTIF(竣!$BI$26:$BI$130,"企业"&amp;$B58)</f>
        <v>0</v>
      </c>
      <c r="Q58" s="376">
        <f>SUMIF(开!$BM$8:$BM$213,"企业"&amp;$B58,开!$F$8:$F$213)+SUMIF('续 '!$BH$8:$BH$198,"企业"&amp;$B58,'续 '!$F$8:$F$198)+SUMIF(竣!$BI$26:$BI$130,"企业"&amp;$B58,竣!$F$26:$F$130)</f>
        <v>0</v>
      </c>
      <c r="R58" s="376">
        <f>SUMIF('续 '!$BH$8:$BH$198,"企业"&amp;$B58,'续 '!$G$8:$G$198)+SUMIF(竣!$BI$26:$BI$130,"企业"&amp;$B58,竣!$G$26:$G$130)</f>
        <v>0</v>
      </c>
      <c r="S58" s="376">
        <f>SUMIF(开!$BM$8:$BM$213,"企业"&amp;$B58,开!$L$8:$L$213)+SUMIF('续 '!$BH$8:$BH$198,"企业"&amp;$B58,'续 '!$L$8:$L$198)+SUMIF(竣!$BI$26:$BI$130,"企业"&amp;$B58,竣!$L$26:$L$130)</f>
        <v>0</v>
      </c>
      <c r="T58" s="403" t="e">
        <f t="shared" si="25"/>
        <v>#DIV/0!</v>
      </c>
      <c r="U58" s="376">
        <f>SUMIF(开!$BM$8:$BM$213,"企业"&amp;$B58,开!$P$8:$P$213)+SUMIF('续 '!$BH$8:$BH$198,"企业"&amp;$B58,'续 '!$O$8:$O$198)+SUMIF(竣!$BI$26:$BI$130,"企业"&amp;$B58,竣!$O$26:$O$130)</f>
        <v>0</v>
      </c>
      <c r="V58" s="403" t="e">
        <f t="shared" si="6"/>
        <v>#DIV/0!</v>
      </c>
    </row>
    <row r="59" s="334" customFormat="1" ht="25.15" customHeight="1" spans="1:22">
      <c r="A59" s="374"/>
      <c r="B59" s="381" t="s">
        <v>2768</v>
      </c>
      <c r="C59" s="376">
        <f t="shared" si="26"/>
        <v>0</v>
      </c>
      <c r="D59" s="376">
        <f t="shared" si="26"/>
        <v>0</v>
      </c>
      <c r="E59" s="376">
        <f t="shared" si="26"/>
        <v>0</v>
      </c>
      <c r="F59" s="376">
        <f t="shared" si="26"/>
        <v>0</v>
      </c>
      <c r="G59" s="377">
        <f t="shared" si="8"/>
        <v>0</v>
      </c>
      <c r="H59" s="371" t="e">
        <f t="shared" si="4"/>
        <v>#DIV/0!</v>
      </c>
      <c r="I59" s="376">
        <f>COUNTIF(开!$BM$8:$BM$213,"政府"&amp;$B59)+COUNTIF('续 '!$BH$8:$BH$198,"政府"&amp;$B59)+COUNTIF(竣!$BI$26:$BI$130,"政府"&amp;$B59)</f>
        <v>0</v>
      </c>
      <c r="J59" s="376">
        <f>SUMIF(开!$BM$8:$BM$213,"政府"&amp;$B59,开!$F$8:$F$213)+SUMIF('续 '!$BH$8:$BH$198,"政府"&amp;$B59,'续 '!$F$8:$F$198)+SUMIF(竣!$BI$26:$BI$130,"政府"&amp;$B59,竣!$F$26:$F$130)</f>
        <v>0</v>
      </c>
      <c r="K59" s="376">
        <f>SUMIF('续 '!$BH$8:$BH$198,"政府"&amp;$B59,'续 '!$G$8:$G$198)+SUMIF(竣!$BI$26:$BI$130,"政府"&amp;$B59,竣!$G$26:$G$130)</f>
        <v>0</v>
      </c>
      <c r="L59" s="376">
        <f>SUMIF(开!$BM$8:$BM$213,"政府"&amp;$B59,开!$L$8:$L$213)+SUMIF('续 '!$BH$8:$BH$198,"政府"&amp;$B59,'续 '!$L$8:$L$198)+SUMIF(竣!$BI$26:$BI$130,"政府"&amp;$B59,竣!$L$26:$L$130)</f>
        <v>0</v>
      </c>
      <c r="M59" s="403" t="e">
        <f t="shared" si="24"/>
        <v>#DIV/0!</v>
      </c>
      <c r="N59" s="376">
        <f>SUMIF(开!$BM$8:$BM$213,"政府"&amp;$B59,开!$P$8:$P$213)+SUMIF('续 '!$BH$8:$BH$198,"政府"&amp;$B59,'续 '!$O$8:$O$198)+SUMIF(竣!$BI$26:$BI$130,"政府"&amp;$B59,竣!$O$26:$O$130)</f>
        <v>0</v>
      </c>
      <c r="O59" s="403" t="e">
        <f t="shared" si="5"/>
        <v>#DIV/0!</v>
      </c>
      <c r="P59" s="376">
        <f>COUNTIF(开!$BM$8:$BM$213,"企业"&amp;$B59)+COUNTIF('续 '!$BH$8:$BH$198,"企业"&amp;$B59)+COUNTIF(竣!$BI$26:$BI$130,"企业"&amp;$B59)</f>
        <v>0</v>
      </c>
      <c r="Q59" s="376">
        <f>SUMIF(开!$BM$8:$BM$213,"企业"&amp;$B59,开!$F$8:$F$213)+SUMIF('续 '!$BH$8:$BH$198,"企业"&amp;$B59,'续 '!$F$8:$F$198)+SUMIF(竣!$BI$26:$BI$130,"企业"&amp;$B59,竣!$F$26:$F$130)</f>
        <v>0</v>
      </c>
      <c r="R59" s="376">
        <f>SUMIF('续 '!$BH$8:$BH$198,"企业"&amp;$B59,'续 '!$G$8:$G$198)+SUMIF(竣!$BI$26:$BI$130,"企业"&amp;$B59,竣!$G$26:$G$130)</f>
        <v>0</v>
      </c>
      <c r="S59" s="376">
        <f>SUMIF(开!$BM$8:$BM$213,"企业"&amp;$B59,开!$L$8:$L$213)+SUMIF('续 '!$BH$8:$BH$198,"企业"&amp;$B59,'续 '!$L$8:$L$198)+SUMIF(竣!$BI$26:$BI$130,"企业"&amp;$B59,竣!$L$26:$L$130)</f>
        <v>0</v>
      </c>
      <c r="T59" s="403" t="e">
        <f t="shared" si="25"/>
        <v>#DIV/0!</v>
      </c>
      <c r="U59" s="376">
        <f>SUMIF(开!$BM$8:$BM$213,"企业"&amp;$B59,开!$P$8:$P$213)+SUMIF('续 '!$BH$8:$BH$198,"企业"&amp;$B59,'续 '!$O$8:$O$198)+SUMIF(竣!$BI$26:$BI$130,"企业"&amp;$B59,竣!$O$26:$O$130)</f>
        <v>0</v>
      </c>
      <c r="V59" s="403" t="e">
        <f t="shared" si="6"/>
        <v>#DIV/0!</v>
      </c>
    </row>
    <row r="60" s="334" customFormat="1" ht="25.15" customHeight="1" spans="1:22">
      <c r="A60" s="374">
        <v>29</v>
      </c>
      <c r="B60" s="381" t="s">
        <v>979</v>
      </c>
      <c r="C60" s="376">
        <f t="shared" si="26"/>
        <v>6</v>
      </c>
      <c r="D60" s="376">
        <f t="shared" si="26"/>
        <v>132590.03</v>
      </c>
      <c r="E60" s="376">
        <f t="shared" si="26"/>
        <v>76821</v>
      </c>
      <c r="F60" s="376">
        <f t="shared" si="26"/>
        <v>13900</v>
      </c>
      <c r="G60" s="377">
        <f t="shared" si="8"/>
        <v>0</v>
      </c>
      <c r="H60" s="371">
        <f t="shared" si="4"/>
        <v>0</v>
      </c>
      <c r="I60" s="376">
        <f>COUNTIF(开!$BM$8:$BM$213,"政府"&amp;$B60)+COUNTIF('续 '!$BH$8:$BH$198,"政府"&amp;$B60)+COUNTIF(竣!$BI$26:$BI$130,"政府"&amp;$B60)</f>
        <v>6</v>
      </c>
      <c r="J60" s="376">
        <f>SUMIF(开!$BM$8:$BM$213,"政府"&amp;$B60,开!$F$8:$F$213)+SUMIF('续 '!$BH$8:$BH$198,"政府"&amp;$B60,'续 '!$F$8:$F$198)+SUMIF(竣!$BI$26:$BI$130,"政府"&amp;$B60,竣!$F$26:$F$130)</f>
        <v>132590.03</v>
      </c>
      <c r="K60" s="376">
        <f>SUMIF('续 '!$BH$8:$BH$198,"政府"&amp;$B60,'续 '!$G$8:$G$198)+SUMIF(竣!$BI$26:$BI$130,"政府"&amp;$B60,竣!$G$26:$G$130)</f>
        <v>76821</v>
      </c>
      <c r="L60" s="376">
        <f>SUMIF(开!$BM$8:$BM$213,"政府"&amp;$B60,开!$L$8:$L$213)+SUMIF('续 '!$BH$8:$BH$198,"政府"&amp;$B60,'续 '!$L$8:$L$198)+SUMIF(竣!$BI$26:$BI$130,"政府"&amp;$B60,竣!$L$26:$L$130)</f>
        <v>13900</v>
      </c>
      <c r="M60" s="403">
        <f t="shared" si="24"/>
        <v>1</v>
      </c>
      <c r="N60" s="376">
        <f>SUMIF(开!$BM$8:$BM$213,"政府"&amp;$B60,开!$P$8:$P$213)+SUMIF('续 '!$BH$8:$BH$198,"政府"&amp;$B60,'续 '!$O$8:$O$198)+SUMIF(竣!$BI$26:$BI$130,"政府"&amp;$B60,竣!$O$26:$O$130)</f>
        <v>0</v>
      </c>
      <c r="O60" s="403">
        <f t="shared" si="5"/>
        <v>0</v>
      </c>
      <c r="P60" s="376">
        <f>COUNTIF(开!$BM$8:$BM$213,"企业"&amp;$B60)+COUNTIF('续 '!$BH$8:$BH$198,"企业"&amp;$B60)+COUNTIF(竣!$BI$26:$BI$130,"企业"&amp;$B60)</f>
        <v>0</v>
      </c>
      <c r="Q60" s="376">
        <f>SUMIF(开!$BM$8:$BM$213,"企业"&amp;$B60,开!$F$8:$F$213)+SUMIF('续 '!$BH$8:$BH$198,"企业"&amp;$B60,'续 '!$F$8:$F$198)+SUMIF(竣!$BI$26:$BI$130,"企业"&amp;$B60,竣!$F$26:$F$130)</f>
        <v>0</v>
      </c>
      <c r="R60" s="376">
        <f>SUMIF('续 '!$BH$8:$BH$198,"企业"&amp;$B60,'续 '!$G$8:$G$198)+SUMIF(竣!$BI$26:$BI$130,"企业"&amp;$B60,竣!$G$26:$G$130)</f>
        <v>0</v>
      </c>
      <c r="S60" s="376">
        <f>SUMIF(开!$BM$8:$BM$213,"企业"&amp;$B60,开!$L$8:$L$213)+SUMIF('续 '!$BH$8:$BH$198,"企业"&amp;$B60,'续 '!$L$8:$L$198)+SUMIF(竣!$BI$26:$BI$130,"企业"&amp;$B60,竣!$L$26:$L$130)</f>
        <v>0</v>
      </c>
      <c r="T60" s="403">
        <f t="shared" si="25"/>
        <v>0</v>
      </c>
      <c r="U60" s="376">
        <f>SUMIF(开!$BM$8:$BM$213,"企业"&amp;$B60,开!$P$8:$P$213)+SUMIF('续 '!$BH$8:$BH$198,"企业"&amp;$B60,'续 '!$O$8:$O$198)+SUMIF(竣!$BI$26:$BI$130,"企业"&amp;$B60,竣!$O$26:$O$130)</f>
        <v>0</v>
      </c>
      <c r="V60" s="403" t="e">
        <f t="shared" si="6"/>
        <v>#DIV/0!</v>
      </c>
    </row>
    <row r="61" ht="30" customHeight="1" spans="1:22">
      <c r="A61" s="372" t="s">
        <v>2012</v>
      </c>
      <c r="B61" s="373" t="s">
        <v>2769</v>
      </c>
      <c r="C61" s="368"/>
      <c r="D61" s="382"/>
      <c r="E61" s="382"/>
      <c r="F61" s="382"/>
      <c r="G61" s="383"/>
      <c r="H61" s="371" t="e">
        <f t="shared" si="4"/>
        <v>#DIV/0!</v>
      </c>
      <c r="I61" s="368"/>
      <c r="J61" s="382"/>
      <c r="K61" s="382"/>
      <c r="L61" s="382"/>
      <c r="M61" s="403"/>
      <c r="N61" s="382"/>
      <c r="O61" s="403" t="e">
        <f t="shared" si="5"/>
        <v>#DIV/0!</v>
      </c>
      <c r="P61" s="368"/>
      <c r="Q61" s="382"/>
      <c r="R61" s="382"/>
      <c r="S61" s="382"/>
      <c r="T61" s="403"/>
      <c r="U61" s="382"/>
      <c r="V61" s="403" t="e">
        <f t="shared" si="6"/>
        <v>#DIV/0!</v>
      </c>
    </row>
    <row r="62" s="334" customFormat="1" ht="27" customHeight="1" spans="1:22">
      <c r="A62" s="374"/>
      <c r="B62" s="381" t="s">
        <v>455</v>
      </c>
      <c r="C62" s="376"/>
      <c r="D62" s="384"/>
      <c r="E62" s="384"/>
      <c r="F62" s="384"/>
      <c r="G62" s="385"/>
      <c r="H62" s="371" t="e">
        <f t="shared" si="4"/>
        <v>#DIV/0!</v>
      </c>
      <c r="I62" s="376"/>
      <c r="J62" s="384"/>
      <c r="K62" s="384"/>
      <c r="L62" s="384"/>
      <c r="M62" s="403"/>
      <c r="N62" s="384"/>
      <c r="O62" s="403" t="e">
        <f t="shared" si="5"/>
        <v>#DIV/0!</v>
      </c>
      <c r="P62" s="376"/>
      <c r="Q62" s="384"/>
      <c r="R62" s="384"/>
      <c r="S62" s="384"/>
      <c r="T62" s="403"/>
      <c r="U62" s="384"/>
      <c r="V62" s="403" t="e">
        <f t="shared" si="6"/>
        <v>#DIV/0!</v>
      </c>
    </row>
    <row r="63" s="334" customFormat="1" ht="25.15" customHeight="1" spans="1:22">
      <c r="A63" s="374"/>
      <c r="B63" s="386" t="s">
        <v>455</v>
      </c>
      <c r="C63" s="376"/>
      <c r="D63" s="376"/>
      <c r="E63" s="376"/>
      <c r="F63" s="376"/>
      <c r="G63" s="377">
        <f t="shared" ref="G63:G69" si="27">N63+U63</f>
        <v>0</v>
      </c>
      <c r="H63" s="371" t="e">
        <f t="shared" si="4"/>
        <v>#DIV/0!</v>
      </c>
      <c r="I63" s="384"/>
      <c r="J63" s="384"/>
      <c r="K63" s="384"/>
      <c r="L63" s="384"/>
      <c r="M63" s="403"/>
      <c r="N63" s="384"/>
      <c r="O63" s="403" t="e">
        <f t="shared" si="5"/>
        <v>#DIV/0!</v>
      </c>
      <c r="P63" s="384"/>
      <c r="Q63" s="384"/>
      <c r="R63" s="384"/>
      <c r="S63" s="384"/>
      <c r="T63" s="403"/>
      <c r="U63" s="384"/>
      <c r="V63" s="403" t="e">
        <f t="shared" si="6"/>
        <v>#DIV/0!</v>
      </c>
    </row>
    <row r="64" s="334" customFormat="1" ht="25.15" customHeight="1" spans="1:22">
      <c r="A64" s="374"/>
      <c r="B64" s="386" t="s">
        <v>2772</v>
      </c>
      <c r="C64" s="376"/>
      <c r="D64" s="376"/>
      <c r="E64" s="376"/>
      <c r="F64" s="376"/>
      <c r="G64" s="377">
        <f t="shared" si="27"/>
        <v>0</v>
      </c>
      <c r="H64" s="371" t="e">
        <f t="shared" si="4"/>
        <v>#DIV/0!</v>
      </c>
      <c r="I64" s="384"/>
      <c r="J64" s="384"/>
      <c r="K64" s="384"/>
      <c r="L64" s="384"/>
      <c r="M64" s="403"/>
      <c r="N64" s="384"/>
      <c r="O64" s="403" t="e">
        <f t="shared" si="5"/>
        <v>#DIV/0!</v>
      </c>
      <c r="P64" s="384"/>
      <c r="Q64" s="384"/>
      <c r="R64" s="384"/>
      <c r="S64" s="384"/>
      <c r="T64" s="403"/>
      <c r="U64" s="384"/>
      <c r="V64" s="403" t="e">
        <f t="shared" si="6"/>
        <v>#DIV/0!</v>
      </c>
    </row>
    <row r="65" s="334" customFormat="1" ht="37.9" customHeight="1" spans="1:22">
      <c r="A65" s="374"/>
      <c r="B65" s="386" t="s">
        <v>2773</v>
      </c>
      <c r="C65" s="376"/>
      <c r="D65" s="376"/>
      <c r="E65" s="376"/>
      <c r="F65" s="376"/>
      <c r="G65" s="377">
        <f t="shared" si="27"/>
        <v>0</v>
      </c>
      <c r="H65" s="371" t="e">
        <f t="shared" si="4"/>
        <v>#DIV/0!</v>
      </c>
      <c r="I65" s="384"/>
      <c r="J65" s="384"/>
      <c r="K65" s="384"/>
      <c r="L65" s="384"/>
      <c r="M65" s="403"/>
      <c r="N65" s="384"/>
      <c r="O65" s="403" t="e">
        <f t="shared" si="5"/>
        <v>#DIV/0!</v>
      </c>
      <c r="P65" s="384"/>
      <c r="Q65" s="384"/>
      <c r="R65" s="384"/>
      <c r="S65" s="384"/>
      <c r="T65" s="403"/>
      <c r="U65" s="384"/>
      <c r="V65" s="403" t="e">
        <f t="shared" si="6"/>
        <v>#DIV/0!</v>
      </c>
    </row>
    <row r="66" s="334" customFormat="1" ht="25.15" customHeight="1" spans="1:22">
      <c r="A66" s="374"/>
      <c r="B66" s="386" t="s">
        <v>2774</v>
      </c>
      <c r="C66" s="376"/>
      <c r="D66" s="376"/>
      <c r="E66" s="376"/>
      <c r="F66" s="376"/>
      <c r="G66" s="377">
        <f t="shared" si="27"/>
        <v>0</v>
      </c>
      <c r="H66" s="371" t="e">
        <f t="shared" si="4"/>
        <v>#DIV/0!</v>
      </c>
      <c r="I66" s="384"/>
      <c r="J66" s="384"/>
      <c r="K66" s="384"/>
      <c r="L66" s="384"/>
      <c r="M66" s="403"/>
      <c r="N66" s="384"/>
      <c r="O66" s="403" t="e">
        <f t="shared" si="5"/>
        <v>#DIV/0!</v>
      </c>
      <c r="P66" s="384"/>
      <c r="Q66" s="384"/>
      <c r="R66" s="384"/>
      <c r="S66" s="384"/>
      <c r="T66" s="403"/>
      <c r="U66" s="384"/>
      <c r="V66" s="403" t="e">
        <f t="shared" si="6"/>
        <v>#DIV/0!</v>
      </c>
    </row>
    <row r="67" s="334" customFormat="1" ht="27" customHeight="1" spans="1:22">
      <c r="A67" s="374"/>
      <c r="B67" s="381" t="s">
        <v>1040</v>
      </c>
      <c r="C67" s="376"/>
      <c r="D67" s="376"/>
      <c r="E67" s="376"/>
      <c r="F67" s="376"/>
      <c r="G67" s="377">
        <f t="shared" si="27"/>
        <v>0</v>
      </c>
      <c r="H67" s="371" t="e">
        <f t="shared" si="4"/>
        <v>#DIV/0!</v>
      </c>
      <c r="I67" s="376"/>
      <c r="J67" s="384"/>
      <c r="K67" s="384"/>
      <c r="L67" s="384"/>
      <c r="M67" s="403"/>
      <c r="N67" s="384"/>
      <c r="O67" s="403" t="e">
        <f t="shared" si="5"/>
        <v>#DIV/0!</v>
      </c>
      <c r="P67" s="376"/>
      <c r="Q67" s="384"/>
      <c r="R67" s="384"/>
      <c r="S67" s="384"/>
      <c r="T67" s="403"/>
      <c r="U67" s="384"/>
      <c r="V67" s="403" t="e">
        <f t="shared" si="6"/>
        <v>#DIV/0!</v>
      </c>
    </row>
    <row r="68" s="334" customFormat="1" ht="27" customHeight="1" spans="1:22">
      <c r="A68" s="374"/>
      <c r="B68" s="381" t="s">
        <v>1003</v>
      </c>
      <c r="C68" s="376"/>
      <c r="D68" s="376"/>
      <c r="E68" s="376"/>
      <c r="F68" s="376"/>
      <c r="G68" s="377">
        <f t="shared" si="27"/>
        <v>0</v>
      </c>
      <c r="H68" s="371" t="e">
        <f t="shared" si="4"/>
        <v>#DIV/0!</v>
      </c>
      <c r="I68" s="376"/>
      <c r="J68" s="384"/>
      <c r="K68" s="384"/>
      <c r="L68" s="384"/>
      <c r="M68" s="403"/>
      <c r="N68" s="384"/>
      <c r="O68" s="403" t="e">
        <f t="shared" si="5"/>
        <v>#DIV/0!</v>
      </c>
      <c r="P68" s="376"/>
      <c r="Q68" s="384"/>
      <c r="R68" s="384"/>
      <c r="S68" s="384"/>
      <c r="T68" s="403"/>
      <c r="U68" s="384"/>
      <c r="V68" s="403" t="e">
        <f t="shared" si="6"/>
        <v>#DIV/0!</v>
      </c>
    </row>
    <row r="69" ht="30" customHeight="1" spans="1:245">
      <c r="A69" s="374"/>
      <c r="B69" s="378" t="s">
        <v>2775</v>
      </c>
      <c r="C69" s="376">
        <f>C7-C9-C10-C11-C12-C14-C18-C20</f>
        <v>117</v>
      </c>
      <c r="D69" s="376">
        <f t="shared" ref="D69:S69" si="28">D7-D9-D10-D11-D12-D14-D18-D20</f>
        <v>10082796.53</v>
      </c>
      <c r="E69" s="376">
        <f t="shared" si="28"/>
        <v>1469048.4</v>
      </c>
      <c r="F69" s="376">
        <f t="shared" si="28"/>
        <v>1439936</v>
      </c>
      <c r="G69" s="377">
        <f t="shared" si="27"/>
        <v>0</v>
      </c>
      <c r="H69" s="371">
        <f t="shared" si="4"/>
        <v>0</v>
      </c>
      <c r="I69" s="376">
        <f t="shared" si="28"/>
        <v>73</v>
      </c>
      <c r="J69" s="376">
        <f t="shared" si="28"/>
        <v>4859669.53</v>
      </c>
      <c r="K69" s="376">
        <f t="shared" si="28"/>
        <v>1174959.4</v>
      </c>
      <c r="L69" s="376">
        <f t="shared" si="28"/>
        <v>865090</v>
      </c>
      <c r="M69" s="403">
        <f t="shared" si="24"/>
        <v>0.600783645939819</v>
      </c>
      <c r="N69" s="376">
        <f>N7-N9-N10-N11-N12-N14-N18-N20</f>
        <v>0</v>
      </c>
      <c r="O69" s="403">
        <f t="shared" si="5"/>
        <v>0</v>
      </c>
      <c r="P69" s="376">
        <f t="shared" si="28"/>
        <v>44</v>
      </c>
      <c r="Q69" s="376">
        <f t="shared" si="28"/>
        <v>5223127</v>
      </c>
      <c r="R69" s="376">
        <f t="shared" si="28"/>
        <v>294089</v>
      </c>
      <c r="S69" s="376">
        <f t="shared" si="28"/>
        <v>574846</v>
      </c>
      <c r="T69" s="403">
        <f t="shared" si="25"/>
        <v>0.39921635406018</v>
      </c>
      <c r="U69" s="376">
        <f>U7-U9-U10-U11-U12-U14-U18-U20</f>
        <v>0</v>
      </c>
      <c r="V69" s="403">
        <f t="shared" si="6"/>
        <v>0</v>
      </c>
      <c r="W69" s="334"/>
      <c r="X69" s="334"/>
      <c r="Y69" s="334"/>
      <c r="Z69" s="334"/>
      <c r="AA69" s="334"/>
      <c r="AB69" s="334"/>
      <c r="AC69" s="334"/>
      <c r="AD69" s="334"/>
      <c r="AE69" s="334"/>
      <c r="AF69" s="334"/>
      <c r="AG69" s="334"/>
      <c r="AH69" s="334"/>
      <c r="AI69" s="334"/>
      <c r="AJ69" s="334"/>
      <c r="AK69" s="334"/>
      <c r="AL69" s="334"/>
      <c r="AM69" s="334"/>
      <c r="AN69" s="334"/>
      <c r="AO69" s="334"/>
      <c r="AP69" s="334"/>
      <c r="AQ69" s="334"/>
      <c r="AR69" s="334"/>
      <c r="AS69" s="334"/>
      <c r="AT69" s="334"/>
      <c r="AU69" s="334"/>
      <c r="AV69" s="334"/>
      <c r="AW69" s="334"/>
      <c r="AX69" s="334"/>
      <c r="AY69" s="334"/>
      <c r="AZ69" s="334"/>
      <c r="BA69" s="334"/>
      <c r="BB69" s="334"/>
      <c r="BC69" s="334"/>
      <c r="BD69" s="334"/>
      <c r="BE69" s="334"/>
      <c r="BF69" s="334"/>
      <c r="BG69" s="334"/>
      <c r="BH69" s="334"/>
      <c r="BI69" s="334"/>
      <c r="BJ69" s="334"/>
      <c r="BK69" s="334"/>
      <c r="BL69" s="334"/>
      <c r="BM69" s="334"/>
      <c r="BN69" s="334"/>
      <c r="BO69" s="334"/>
      <c r="BP69" s="334"/>
      <c r="BQ69" s="334"/>
      <c r="BR69" s="334"/>
      <c r="BS69" s="334"/>
      <c r="BT69" s="334"/>
      <c r="BU69" s="334"/>
      <c r="BV69" s="334"/>
      <c r="BW69" s="334"/>
      <c r="BX69" s="334"/>
      <c r="BY69" s="334"/>
      <c r="BZ69" s="334"/>
      <c r="CA69" s="334"/>
      <c r="CB69" s="334"/>
      <c r="CC69" s="334"/>
      <c r="CD69" s="334"/>
      <c r="CE69" s="334"/>
      <c r="CF69" s="334"/>
      <c r="CG69" s="334"/>
      <c r="CH69" s="334"/>
      <c r="CI69" s="334"/>
      <c r="CJ69" s="334"/>
      <c r="CK69" s="334"/>
      <c r="CL69" s="334"/>
      <c r="CM69" s="334"/>
      <c r="CN69" s="334"/>
      <c r="CO69" s="334"/>
      <c r="CP69" s="334"/>
      <c r="CQ69" s="334"/>
      <c r="CR69" s="334"/>
      <c r="CS69" s="334"/>
      <c r="CT69" s="334"/>
      <c r="CU69" s="334"/>
      <c r="CV69" s="334"/>
      <c r="CW69" s="334"/>
      <c r="CX69" s="334"/>
      <c r="CY69" s="334"/>
      <c r="CZ69" s="334"/>
      <c r="DA69" s="334"/>
      <c r="DB69" s="334"/>
      <c r="DC69" s="334"/>
      <c r="DD69" s="334"/>
      <c r="DE69" s="334"/>
      <c r="DF69" s="334"/>
      <c r="DG69" s="334"/>
      <c r="DH69" s="334"/>
      <c r="DI69" s="334"/>
      <c r="DJ69" s="334"/>
      <c r="DK69" s="334"/>
      <c r="DL69" s="334"/>
      <c r="DM69" s="334"/>
      <c r="DN69" s="334"/>
      <c r="DO69" s="334"/>
      <c r="DP69" s="334"/>
      <c r="DQ69" s="334"/>
      <c r="DR69" s="334"/>
      <c r="DS69" s="334"/>
      <c r="DT69" s="334"/>
      <c r="DU69" s="334"/>
      <c r="DV69" s="334"/>
      <c r="DW69" s="334"/>
      <c r="DX69" s="334"/>
      <c r="DY69" s="334"/>
      <c r="DZ69" s="334"/>
      <c r="EA69" s="334"/>
      <c r="EB69" s="334"/>
      <c r="EC69" s="334"/>
      <c r="ED69" s="334"/>
      <c r="EE69" s="334"/>
      <c r="EF69" s="334"/>
      <c r="EG69" s="334"/>
      <c r="EH69" s="334"/>
      <c r="EI69" s="334"/>
      <c r="EJ69" s="334"/>
      <c r="EK69" s="334"/>
      <c r="EL69" s="334"/>
      <c r="EM69" s="334"/>
      <c r="EN69" s="334"/>
      <c r="EO69" s="334"/>
      <c r="EP69" s="334"/>
      <c r="EQ69" s="334"/>
      <c r="ER69" s="334"/>
      <c r="ES69" s="334"/>
      <c r="ET69" s="334"/>
      <c r="EU69" s="334"/>
      <c r="EV69" s="334"/>
      <c r="EW69" s="334"/>
      <c r="EX69" s="334"/>
      <c r="EY69" s="334"/>
      <c r="EZ69" s="334"/>
      <c r="FA69" s="334"/>
      <c r="FB69" s="334"/>
      <c r="FC69" s="334"/>
      <c r="FD69" s="334"/>
      <c r="FE69" s="334"/>
      <c r="FF69" s="334"/>
      <c r="FG69" s="334"/>
      <c r="FH69" s="334"/>
      <c r="FI69" s="334"/>
      <c r="FJ69" s="334"/>
      <c r="FK69" s="334"/>
      <c r="FL69" s="334"/>
      <c r="FM69" s="334"/>
      <c r="FN69" s="334"/>
      <c r="FO69" s="334"/>
      <c r="FP69" s="334"/>
      <c r="FQ69" s="334"/>
      <c r="FR69" s="334"/>
      <c r="FS69" s="334"/>
      <c r="FT69" s="334"/>
      <c r="FU69" s="334"/>
      <c r="FV69" s="334"/>
      <c r="FW69" s="334"/>
      <c r="FX69" s="334"/>
      <c r="FY69" s="334"/>
      <c r="FZ69" s="334"/>
      <c r="GA69" s="334"/>
      <c r="GB69" s="334"/>
      <c r="GC69" s="334"/>
      <c r="GD69" s="334"/>
      <c r="GE69" s="334"/>
      <c r="GF69" s="334"/>
      <c r="GG69" s="334"/>
      <c r="GH69" s="334"/>
      <c r="GI69" s="334"/>
      <c r="GJ69" s="334"/>
      <c r="GK69" s="334"/>
      <c r="GL69" s="334"/>
      <c r="GM69" s="334"/>
      <c r="GN69" s="334"/>
      <c r="GO69" s="334"/>
      <c r="GP69" s="334"/>
      <c r="GQ69" s="334"/>
      <c r="GR69" s="334"/>
      <c r="GS69" s="334"/>
      <c r="GT69" s="334"/>
      <c r="GU69" s="334"/>
      <c r="GV69" s="334"/>
      <c r="GW69" s="334"/>
      <c r="GX69" s="334"/>
      <c r="GY69" s="334"/>
      <c r="GZ69" s="334"/>
      <c r="HA69" s="334"/>
      <c r="HB69" s="334"/>
      <c r="HC69" s="334"/>
      <c r="HD69" s="334"/>
      <c r="HE69" s="334"/>
      <c r="HF69" s="334"/>
      <c r="HG69" s="334"/>
      <c r="HH69" s="334"/>
      <c r="HI69" s="334"/>
      <c r="HJ69" s="334"/>
      <c r="HK69" s="334"/>
      <c r="HL69" s="334"/>
      <c r="HM69" s="334"/>
      <c r="HN69" s="334"/>
      <c r="HO69" s="334"/>
      <c r="HP69" s="334"/>
      <c r="HQ69" s="334"/>
      <c r="HR69" s="334"/>
      <c r="HS69" s="334"/>
      <c r="HT69" s="334"/>
      <c r="HU69" s="334"/>
      <c r="HV69" s="334"/>
      <c r="HW69" s="334"/>
      <c r="HX69" s="334"/>
      <c r="HY69" s="334"/>
      <c r="HZ69" s="334"/>
      <c r="IA69" s="334"/>
      <c r="IB69" s="334"/>
      <c r="IC69" s="334"/>
      <c r="ID69" s="334"/>
      <c r="IE69" s="334"/>
      <c r="IF69" s="374"/>
      <c r="IG69" s="378"/>
      <c r="IH69" s="376"/>
      <c r="II69" s="376"/>
      <c r="IJ69" s="376"/>
      <c r="IK69" s="376"/>
    </row>
  </sheetData>
  <autoFilter ref="A6:F69">
    <extLst/>
  </autoFilter>
  <mergeCells count="13">
    <mergeCell ref="A2:T2"/>
    <mergeCell ref="S3:T3"/>
    <mergeCell ref="I4:M4"/>
    <mergeCell ref="P4:S4"/>
    <mergeCell ref="A7:B7"/>
    <mergeCell ref="A4:A5"/>
    <mergeCell ref="B4:B5"/>
    <mergeCell ref="C4:C5"/>
    <mergeCell ref="D4:D5"/>
    <mergeCell ref="E4:E5"/>
    <mergeCell ref="F4:F5"/>
    <mergeCell ref="G4:G5"/>
    <mergeCell ref="H4:H5"/>
  </mergeCells>
  <conditionalFormatting sqref="B25">
    <cfRule type="duplicateValues" dxfId="0" priority="4" stopIfTrue="1"/>
  </conditionalFormatting>
  <conditionalFormatting sqref="B27">
    <cfRule type="duplicateValues" dxfId="0" priority="3" stopIfTrue="1"/>
  </conditionalFormatting>
  <conditionalFormatting sqref="B38:B60">
    <cfRule type="duplicateValues" dxfId="0" priority="2" stopIfTrue="1"/>
  </conditionalFormatting>
  <conditionalFormatting sqref="B23:B24 B28:B36 B26">
    <cfRule type="expression" dxfId="1" priority="1" stopIfTrue="1">
      <formula>AND(COUNTIF($B$23:$B$24,B23)+COUNTIF($B$28:$B$36,B23)+COUNTIF($B$26:$B$26,B23)&gt;1,NOT(ISBLANK(B23)))</formula>
    </cfRule>
  </conditionalFormatting>
  <printOptions horizontalCentered="1"/>
  <pageMargins left="0.589583333333333" right="0.469444444444444" top="0.489583333333333" bottom="0.389583333333333" header="0.159027777777778" footer="0.2"/>
  <pageSetup paperSize="9" firstPageNumber="4294963191" fitToHeight="0" orientation="landscape" blackAndWhite="1" useFirstPageNumber="1"/>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C50"/>
  <sheetViews>
    <sheetView zoomScale="70" zoomScaleNormal="70" topLeftCell="A30" workbookViewId="0">
      <selection activeCell="B30" sqref="A1:AO65536"/>
    </sheetView>
  </sheetViews>
  <sheetFormatPr defaultColWidth="9" defaultRowHeight="12"/>
  <cols>
    <col min="1" max="1" width="19.8571428571429" style="317" customWidth="1"/>
    <col min="2" max="2" width="24.7142857142857" style="278" hidden="1" customWidth="1"/>
    <col min="3" max="3" width="9.71428571428571" style="278" customWidth="1"/>
    <col min="4" max="4" width="8.85714285714286" style="278" customWidth="1"/>
    <col min="5" max="5" width="8.42857142857143" style="278" customWidth="1"/>
    <col min="6" max="6" width="6.85714285714286" style="278" customWidth="1"/>
    <col min="7" max="7" width="6.71428571428571" style="278" customWidth="1"/>
    <col min="8" max="8" width="8.14285714285714" style="278" customWidth="1"/>
    <col min="9" max="9" width="8.42857142857143" style="278" customWidth="1"/>
    <col min="10" max="10" width="6.71428571428571" style="278" customWidth="1"/>
    <col min="11" max="11" width="6.57142857142857" style="278" customWidth="1"/>
    <col min="12" max="12" width="7.42857142857143" style="278" customWidth="1"/>
    <col min="13" max="13" width="8.42857142857143" style="278" customWidth="1"/>
    <col min="14" max="14" width="8.14285714285714" style="278" customWidth="1"/>
    <col min="15" max="15" width="11.1428571428571" style="278" customWidth="1"/>
    <col min="16" max="16" width="10.7142857142857" style="278" customWidth="1"/>
    <col min="17" max="17" width="10.2857142857143" style="278" hidden="1" customWidth="1"/>
    <col min="18" max="18" width="10.7142857142857" style="278" customWidth="1"/>
    <col min="19" max="19" width="7.14285714285714" style="278" customWidth="1"/>
    <col min="20" max="20" width="10.1428571428571" style="278" customWidth="1"/>
    <col min="21" max="21" width="10.4285714285714" style="278" customWidth="1"/>
    <col min="22" max="22" width="9.71428571428571" style="278" hidden="1" customWidth="1"/>
    <col min="23" max="23" width="9.85714285714286" style="278" customWidth="1"/>
    <col min="24" max="24" width="7.14285714285714" style="278" customWidth="1"/>
    <col min="25" max="26" width="8.42857142857143" style="278" customWidth="1"/>
    <col min="27" max="27" width="8.42857142857143" style="278" hidden="1" customWidth="1"/>
    <col min="28" max="28" width="8.42857142857143" style="278" customWidth="1"/>
    <col min="29" max="29" width="7.57142857142857" style="278" customWidth="1"/>
    <col min="30" max="31" width="10" style="278" customWidth="1"/>
    <col min="32" max="32" width="10.2857142857143" style="278" hidden="1" customWidth="1"/>
    <col min="33" max="33" width="9.71428571428571" style="278" customWidth="1"/>
    <col min="34" max="35" width="8.42857142857143" style="278" customWidth="1"/>
    <col min="36" max="36" width="8.42857142857143" style="278" hidden="1" customWidth="1"/>
    <col min="37" max="37" width="8.42857142857143" style="278" customWidth="1"/>
    <col min="38" max="38" width="8.42857142857143" style="278" hidden="1" customWidth="1"/>
    <col min="39" max="39" width="8.42857142857143" style="278" customWidth="1"/>
    <col min="40" max="40" width="7.42857142857143" style="278" customWidth="1"/>
    <col min="41" max="41" width="8.42857142857143" style="278" customWidth="1"/>
    <col min="42" max="42" width="9.14285714285714" style="278" customWidth="1"/>
    <col min="43" max="43" width="11.5714285714286" style="278" customWidth="1"/>
    <col min="44" max="45" width="14" style="318" customWidth="1"/>
    <col min="46" max="46" width="12.4285714285714" style="318" customWidth="1"/>
    <col min="47" max="47" width="12" style="318" customWidth="1"/>
    <col min="48" max="48" width="12.5714285714286" style="318" customWidth="1"/>
    <col min="49" max="50" width="10" style="278" customWidth="1"/>
    <col min="51" max="51" width="10.1428571428571" style="278" customWidth="1"/>
    <col min="52" max="52" width="9.14285714285714" style="278" customWidth="1"/>
    <col min="53" max="53" width="10.8571428571429" style="278" customWidth="1"/>
    <col min="54" max="54" width="11.1428571428571" style="278" customWidth="1"/>
    <col min="55" max="55" width="11.2857142857143" style="278" customWidth="1"/>
    <col min="56" max="16384" width="9.14285714285714" style="278"/>
  </cols>
  <sheetData>
    <row r="1" ht="67.5" customHeight="1" spans="1:41">
      <c r="A1" s="282" t="s">
        <v>2794</v>
      </c>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row>
    <row r="2" ht="19.5" customHeight="1" spans="2:41">
      <c r="B2" s="283" t="s">
        <v>4</v>
      </c>
      <c r="Q2" s="283" t="s">
        <v>4</v>
      </c>
      <c r="V2" s="283" t="s">
        <v>4</v>
      </c>
      <c r="AA2" s="283" t="s">
        <v>4</v>
      </c>
      <c r="AF2" s="283" t="s">
        <v>4</v>
      </c>
      <c r="AJ2" s="283" t="s">
        <v>4</v>
      </c>
      <c r="AL2" s="283" t="s">
        <v>4</v>
      </c>
      <c r="AN2" s="310" t="s">
        <v>2795</v>
      </c>
      <c r="AO2" s="310"/>
    </row>
    <row r="3" ht="39.75" customHeight="1" spans="1:41">
      <c r="A3" s="292" t="s">
        <v>2796</v>
      </c>
      <c r="B3" s="292" t="s">
        <v>2797</v>
      </c>
      <c r="C3" s="290" t="s">
        <v>2798</v>
      </c>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t="s">
        <v>2799</v>
      </c>
      <c r="AO3" s="290"/>
    </row>
    <row r="4" ht="39.75" customHeight="1" spans="1:48">
      <c r="A4" s="292"/>
      <c r="B4" s="292"/>
      <c r="C4" s="290" t="s">
        <v>2800</v>
      </c>
      <c r="D4" s="290"/>
      <c r="E4" s="290"/>
      <c r="F4" s="290" t="s">
        <v>2801</v>
      </c>
      <c r="G4" s="290"/>
      <c r="H4" s="290"/>
      <c r="I4" s="290"/>
      <c r="J4" s="290" t="s">
        <v>2802</v>
      </c>
      <c r="K4" s="290"/>
      <c r="L4" s="290"/>
      <c r="M4" s="290"/>
      <c r="N4" s="307" t="s">
        <v>17</v>
      </c>
      <c r="O4" s="307"/>
      <c r="P4" s="307"/>
      <c r="Q4" s="307"/>
      <c r="R4" s="307"/>
      <c r="S4" s="307" t="s">
        <v>18</v>
      </c>
      <c r="T4" s="307"/>
      <c r="U4" s="307"/>
      <c r="V4" s="307"/>
      <c r="W4" s="307"/>
      <c r="X4" s="307" t="s">
        <v>19</v>
      </c>
      <c r="Y4" s="307"/>
      <c r="Z4" s="307"/>
      <c r="AA4" s="307"/>
      <c r="AB4" s="307"/>
      <c r="AC4" s="307" t="s">
        <v>20</v>
      </c>
      <c r="AD4" s="307"/>
      <c r="AE4" s="307"/>
      <c r="AF4" s="307"/>
      <c r="AG4" s="307"/>
      <c r="AH4" s="307" t="s">
        <v>2803</v>
      </c>
      <c r="AI4" s="307"/>
      <c r="AJ4" s="307"/>
      <c r="AK4" s="307"/>
      <c r="AL4" s="307"/>
      <c r="AM4" s="307"/>
      <c r="AN4" s="290" t="s">
        <v>2804</v>
      </c>
      <c r="AO4" s="290" t="s">
        <v>2805</v>
      </c>
      <c r="AR4" s="328" t="s">
        <v>21</v>
      </c>
      <c r="AS4" s="328"/>
      <c r="AT4" s="328"/>
      <c r="AU4" s="328"/>
      <c r="AV4" s="328"/>
    </row>
    <row r="5" ht="50.25" customHeight="1" spans="1:48">
      <c r="A5" s="292"/>
      <c r="B5" s="292"/>
      <c r="C5" s="290" t="s">
        <v>1709</v>
      </c>
      <c r="D5" s="290" t="s">
        <v>2806</v>
      </c>
      <c r="E5" s="290" t="s">
        <v>2807</v>
      </c>
      <c r="F5" s="290" t="s">
        <v>2808</v>
      </c>
      <c r="G5" s="290" t="s">
        <v>2809</v>
      </c>
      <c r="H5" s="290" t="s">
        <v>2810</v>
      </c>
      <c r="I5" s="290" t="s">
        <v>2811</v>
      </c>
      <c r="J5" s="290" t="s">
        <v>2812</v>
      </c>
      <c r="K5" s="290" t="s">
        <v>2813</v>
      </c>
      <c r="L5" s="290" t="s">
        <v>2814</v>
      </c>
      <c r="M5" s="290" t="s">
        <v>2815</v>
      </c>
      <c r="N5" s="307" t="s">
        <v>2816</v>
      </c>
      <c r="O5" s="307" t="s">
        <v>59</v>
      </c>
      <c r="P5" s="307" t="s">
        <v>60</v>
      </c>
      <c r="Q5" s="307" t="s">
        <v>60</v>
      </c>
      <c r="R5" s="307" t="s">
        <v>61</v>
      </c>
      <c r="S5" s="307" t="s">
        <v>2816</v>
      </c>
      <c r="T5" s="307" t="s">
        <v>62</v>
      </c>
      <c r="U5" s="307" t="s">
        <v>63</v>
      </c>
      <c r="V5" s="307" t="s">
        <v>63</v>
      </c>
      <c r="W5" s="307" t="s">
        <v>61</v>
      </c>
      <c r="X5" s="307" t="s">
        <v>2816</v>
      </c>
      <c r="Y5" s="307" t="s">
        <v>64</v>
      </c>
      <c r="Z5" s="307" t="s">
        <v>65</v>
      </c>
      <c r="AA5" s="307" t="s">
        <v>65</v>
      </c>
      <c r="AB5" s="307" t="s">
        <v>61</v>
      </c>
      <c r="AC5" s="307" t="s">
        <v>2816</v>
      </c>
      <c r="AD5" s="307" t="s">
        <v>66</v>
      </c>
      <c r="AE5" s="307" t="s">
        <v>2817</v>
      </c>
      <c r="AF5" s="307" t="s">
        <v>2817</v>
      </c>
      <c r="AG5" s="307" t="s">
        <v>68</v>
      </c>
      <c r="AH5" s="307" t="s">
        <v>2816</v>
      </c>
      <c r="AI5" s="307" t="s">
        <v>1709</v>
      </c>
      <c r="AJ5" s="307" t="s">
        <v>1709</v>
      </c>
      <c r="AK5" s="307" t="s">
        <v>2818</v>
      </c>
      <c r="AL5" s="307" t="s">
        <v>2818</v>
      </c>
      <c r="AM5" s="307" t="s">
        <v>2819</v>
      </c>
      <c r="AN5" s="290"/>
      <c r="AO5" s="290"/>
      <c r="AR5" s="329" t="s">
        <v>69</v>
      </c>
      <c r="AS5" s="329" t="s">
        <v>70</v>
      </c>
      <c r="AT5" s="329" t="s">
        <v>71</v>
      </c>
      <c r="AU5" s="329" t="s">
        <v>72</v>
      </c>
      <c r="AV5" s="329" t="s">
        <v>73</v>
      </c>
    </row>
    <row r="6" s="275" customFormat="1" ht="20.1" customHeight="1" spans="1:48">
      <c r="A6" s="292" t="s">
        <v>2820</v>
      </c>
      <c r="B6" s="292"/>
      <c r="C6" s="293">
        <f>单位!F7/10000</f>
        <v>332.1353886</v>
      </c>
      <c r="D6" s="293"/>
      <c r="E6" s="293"/>
      <c r="F6" s="294">
        <f>单位!I7</f>
        <v>168</v>
      </c>
      <c r="G6" s="308"/>
      <c r="H6" s="308"/>
      <c r="I6" s="308"/>
      <c r="J6" s="294">
        <f>单位!Y7</f>
        <v>89</v>
      </c>
      <c r="K6" s="294"/>
      <c r="L6" s="294"/>
      <c r="M6" s="294"/>
      <c r="N6" s="294">
        <f>COUNT(开!$Z$8:$Z$213)+COUNT('续 '!$R$8:$R$198)+COUNT(竣!$R$8:$R$130)</f>
        <v>226</v>
      </c>
      <c r="O6" s="294">
        <f>SUM(开!$Z$8:$Z$213)+SUM('续 '!$R$8:$R$198)+SUM(竣!$R$8:$R$130)</f>
        <v>113535.7489</v>
      </c>
      <c r="P6" s="294">
        <f>O6-R6</f>
        <v>45838.5043000001</v>
      </c>
      <c r="Q6" s="294">
        <f>SUM(开!$AA$8:$AA$213)+SUM('续 '!$S$8:$S$198)+SUM(竣!$S$8:$S$130)</f>
        <v>39694.5613</v>
      </c>
      <c r="R6" s="294">
        <f>SUM(开!$AB$8:$AB$213)+SUM('续 '!$T$8:$T$198)+SUM(竣!$T$8:$T$130)</f>
        <v>67697.2446</v>
      </c>
      <c r="S6" s="308">
        <f>COUNT(开!$AC$8:$AC$213)+COUNT('续 '!$U$8:$U$198)+COUNT(竣!$U$8:$U$130)</f>
        <v>74</v>
      </c>
      <c r="T6" s="294">
        <f>SUM(开!$AC$8:$AC$213)+SUM('续 '!$U$8:$U$198)+SUM(竣!$U$8:$U$130)</f>
        <v>26902.7425</v>
      </c>
      <c r="U6" s="294">
        <f>T6-W6</f>
        <v>16848.8425</v>
      </c>
      <c r="V6" s="294">
        <f>SUM(开!$AD$8:$AD$213)+SUM('续 '!$V$8:$V$198)+SUM(竣!$V$8:$V$130)</f>
        <v>16660.7645</v>
      </c>
      <c r="W6" s="294">
        <f>SUM(开!$AE$8:$AE$213)+SUM('续 '!$W$8:$W$198)+SUM(竣!$W$8:$W$130)</f>
        <v>10053.9</v>
      </c>
      <c r="X6" s="308">
        <f>COUNT(开!$AF$8:$AF$213)+COUNT('续 '!$X$8:$X$198)+COUNT(竣!$X$8:$X$130)</f>
        <v>16</v>
      </c>
      <c r="Y6" s="294">
        <f>SUM(开!$AF$8:$AF$213)+SUM('续 '!$X$8:$X$198)+SUM(竣!$X$8:$X$130)</f>
        <v>5478.0545</v>
      </c>
      <c r="Z6" s="294">
        <f>Y6-AB6</f>
        <v>3704.2545</v>
      </c>
      <c r="AA6" s="294">
        <f>SUM(开!$AG$8:$AG$213)+SUM('续 '!$Y$8:$Y$198)+SUM(竣!$Y$8:$Y$130)</f>
        <v>3704.2545</v>
      </c>
      <c r="AB6" s="294">
        <f>SUM(开!$AH$8:$AH$213)+SUM('续 '!$Z$8:$Z$198)+SUM(竣!$Z$8:$Z$130)</f>
        <v>1773.8</v>
      </c>
      <c r="AC6" s="308">
        <f>COUNT(开!$AI$8:$AI$213)+COUNT('续 '!$AA$8:$AA$198)+COUNT(竣!$AA$8:$AA$130)</f>
        <v>114</v>
      </c>
      <c r="AD6" s="294">
        <f>SUM(开!$AI$8:$AI$213)+SUM('续 '!$AA$8:$AA$198)+SUM(竣!$AA$8:$AA$130)</f>
        <v>44945.4739</v>
      </c>
      <c r="AE6" s="294">
        <f>AD6-AG6</f>
        <v>24255.8609</v>
      </c>
      <c r="AF6" s="294">
        <f>SUM(开!$AJ$8:$AJ$213)+SUM('续 '!$AB$8:$AB$198)+SUM(竣!$AB$8:$AB$130)</f>
        <v>24155.9109</v>
      </c>
      <c r="AG6" s="294">
        <f>SUM(开!$AK$8:$AK$213)+SUM('续 '!$AC$8:$AC$198)+SUM(竣!$AC$8:$AC$130)</f>
        <v>20689.613</v>
      </c>
      <c r="AH6" s="308">
        <f>COUNT(开!$AL$8:$AL$213)+COUNT('续 '!$AD$8:$AD$198)+COUNT(竣!$AD$8:$AD$130)</f>
        <v>188</v>
      </c>
      <c r="AI6" s="308">
        <f>C6</f>
        <v>332.1353886</v>
      </c>
      <c r="AJ6" s="294">
        <f>(SUM(开!$AL$8:$AL$213)+SUM('续 '!$AD$8:$AD$198)+SUM(竣!$AD$8:$AD$130))/10000</f>
        <v>131.8335</v>
      </c>
      <c r="AK6" s="294">
        <f>AI6-AM6</f>
        <v>261.0479886</v>
      </c>
      <c r="AL6" s="294">
        <f>(SUM(开!$AO$8:$AO$213)+SUM('续 '!$AF$8:$AF$198)+SUM(竣!$AG$8:$AG$130))/10000</f>
        <v>63.9138</v>
      </c>
      <c r="AM6" s="294">
        <f>(SUM(开!$AP$8:$AP$213)+SUM('续 '!$AH$8:$AH$198)+SUM(竣!$AH$8:$AH$130))/10000</f>
        <v>71.0874</v>
      </c>
      <c r="AN6" s="325"/>
      <c r="AO6" s="325"/>
      <c r="AQ6" s="275" t="s">
        <v>93</v>
      </c>
      <c r="AR6" s="329">
        <v>9597</v>
      </c>
      <c r="AS6" s="329">
        <v>6244</v>
      </c>
      <c r="AT6" s="329">
        <v>400</v>
      </c>
      <c r="AU6" s="329">
        <v>318496</v>
      </c>
      <c r="AV6" s="329">
        <v>133154</v>
      </c>
    </row>
    <row r="7" s="275" customFormat="1" ht="20.1" customHeight="1" spans="1:48">
      <c r="A7" s="319" t="s">
        <v>2821</v>
      </c>
      <c r="B7" s="292"/>
      <c r="C7" s="293">
        <f>SUM(C8:C12)</f>
        <v>183.8747886</v>
      </c>
      <c r="D7" s="293"/>
      <c r="E7" s="293"/>
      <c r="F7" s="308">
        <f>SUM(F8:F12)</f>
        <v>120</v>
      </c>
      <c r="G7" s="308"/>
      <c r="H7" s="308"/>
      <c r="I7" s="308"/>
      <c r="J7" s="308">
        <f t="shared" ref="J7:O7" si="0">SUM(J8:J12)</f>
        <v>55</v>
      </c>
      <c r="K7" s="308"/>
      <c r="L7" s="308"/>
      <c r="M7" s="308"/>
      <c r="N7" s="308">
        <f t="shared" si="0"/>
        <v>122</v>
      </c>
      <c r="O7" s="308">
        <f t="shared" si="0"/>
        <v>51752.721</v>
      </c>
      <c r="P7" s="294">
        <f t="shared" ref="P7:P47" si="1">O7-R7</f>
        <v>22507.8666</v>
      </c>
      <c r="Q7" s="308">
        <f>SUM(Q8:Q12)</f>
        <v>21850.9741</v>
      </c>
      <c r="R7" s="308">
        <f>SUM(R8:R12)</f>
        <v>29244.8544</v>
      </c>
      <c r="S7" s="308">
        <f t="shared" ref="S7:AM7" si="2">SUM(S8:S12)</f>
        <v>25</v>
      </c>
      <c r="T7" s="308">
        <f t="shared" si="2"/>
        <v>5698.1985</v>
      </c>
      <c r="U7" s="294">
        <f t="shared" ref="U7:U47" si="3">T7-W7</f>
        <v>4220.5985</v>
      </c>
      <c r="V7" s="308">
        <f t="shared" si="2"/>
        <v>4220.6525</v>
      </c>
      <c r="W7" s="308">
        <f t="shared" si="2"/>
        <v>1477.6</v>
      </c>
      <c r="X7" s="308">
        <f t="shared" si="2"/>
        <v>5</v>
      </c>
      <c r="Y7" s="308">
        <f t="shared" si="2"/>
        <v>4003.8</v>
      </c>
      <c r="Z7" s="294">
        <f t="shared" ref="Z7:Z47" si="4">Y7-AB7</f>
        <v>2661</v>
      </c>
      <c r="AA7" s="308">
        <f t="shared" si="2"/>
        <v>2661</v>
      </c>
      <c r="AB7" s="308">
        <f t="shared" si="2"/>
        <v>1342.8</v>
      </c>
      <c r="AC7" s="308">
        <f t="shared" si="2"/>
        <v>52</v>
      </c>
      <c r="AD7" s="308">
        <f t="shared" si="2"/>
        <v>8720.9082</v>
      </c>
      <c r="AE7" s="294">
        <f t="shared" ref="AE7:AE47" si="5">AD7-AG7</f>
        <v>4180.4692</v>
      </c>
      <c r="AF7" s="308">
        <f t="shared" si="2"/>
        <v>4179.9592</v>
      </c>
      <c r="AG7" s="308">
        <f t="shared" si="2"/>
        <v>4540.439</v>
      </c>
      <c r="AH7" s="308">
        <f t="shared" si="2"/>
        <v>70</v>
      </c>
      <c r="AI7" s="308">
        <f t="shared" ref="AI7:AI47" si="6">C7</f>
        <v>183.8747886</v>
      </c>
      <c r="AJ7" s="308">
        <f t="shared" si="2"/>
        <v>30.2933</v>
      </c>
      <c r="AK7" s="294">
        <f t="shared" ref="AK7:AK47" si="7">AI7-AM7</f>
        <v>169.2631886</v>
      </c>
      <c r="AL7" s="308">
        <f t="shared" si="2"/>
        <v>16.495</v>
      </c>
      <c r="AM7" s="308">
        <f t="shared" si="2"/>
        <v>14.6116</v>
      </c>
      <c r="AN7" s="325"/>
      <c r="AO7" s="325"/>
      <c r="AQ7" s="275" t="s">
        <v>1980</v>
      </c>
      <c r="AR7" s="329">
        <v>108445.5</v>
      </c>
      <c r="AS7" s="329">
        <v>59774</v>
      </c>
      <c r="AT7" s="329">
        <v>1500</v>
      </c>
      <c r="AU7" s="329">
        <v>524607.81</v>
      </c>
      <c r="AV7" s="329">
        <v>396404.67</v>
      </c>
    </row>
    <row r="8" ht="20.1" customHeight="1" spans="1:48">
      <c r="A8" s="320" t="s">
        <v>2822</v>
      </c>
      <c r="B8" s="321" t="s">
        <v>119</v>
      </c>
      <c r="C8" s="298">
        <f>单位!F16/10000</f>
        <v>65.8777086</v>
      </c>
      <c r="D8" s="298"/>
      <c r="E8" s="298"/>
      <c r="F8" s="309">
        <f>单位!I16</f>
        <v>21</v>
      </c>
      <c r="G8" s="309"/>
      <c r="H8" s="309"/>
      <c r="I8" s="309"/>
      <c r="J8" s="309">
        <f>单位!Y16</f>
        <v>5</v>
      </c>
      <c r="K8" s="309"/>
      <c r="L8" s="309"/>
      <c r="M8" s="309"/>
      <c r="N8" s="309">
        <f>SUMIF(开!$AU$8:$AU$213,B8,开!$BQ$8:$BQ$213)+SUMIF('续 '!$AM$8:$AM$198,B8,'续 '!$BO$8:$BO$198)+SUMIF(竣!$AM$8:$AM$130,B8,竣!$BO$8:$BO$130)</f>
        <v>9</v>
      </c>
      <c r="O8" s="309">
        <f>SUMIF(开!$AU$8:$AU$213,B8,开!$Z$8:$Z$213)+SUMIF('续 '!AM$8:AM$198,B8,'续 '!$R$8:$R$198)+SUMIF(竣!AM$8:AM$130,B8,竣!$R$8:$R$130)</f>
        <v>5775.395</v>
      </c>
      <c r="P8" s="299">
        <f t="shared" si="1"/>
        <v>3917.8408</v>
      </c>
      <c r="Q8" s="309">
        <f>SUMIF(开!$AU$8:$AU$213,B8,开!$AA$8:$AA$213)+SUMIF('续 '!AM$8:AM$198,B8,'续 '!$S$8:$S$198)+SUMIF(竣!AM$8:AM$130,B8,竣!$S$8:$S$130)</f>
        <v>3260.5483</v>
      </c>
      <c r="R8" s="309">
        <f>SUMIF(开!$AU$8:$AU$213,B8,开!$AB$8:$AB$213)+SUMIF('续 '!AM$8:AM$198,B8,'续 '!$T$8:$T$198)+SUMIF(竣!AM$8:AM$130,B8,竣!$T$8:$T$130)</f>
        <v>1857.5542</v>
      </c>
      <c r="S8" s="309">
        <f>SUMIF(开!$AU$8:$AU$213,B8,开!$BS$8:$BS$213)+SUMIF('续 '!AM$8:AM$198,B8,'续 '!$BQ$8:$BQ$198)+SUMIF(竣!AM$8:AM$130,B8,竣!$BQ$8:$BQ$130)</f>
        <v>1</v>
      </c>
      <c r="T8" s="309">
        <f>SUMIF(开!$AU$8:$AU$213,B8,开!$AC$8:$AC$213)+SUMIF('续 '!AM$8:AM$198,B8,'续 '!$U$8:$U$198)+SUMIF(竣!AM$8:AM$130,B8,竣!$U$8:$U$130)</f>
        <v>71.33</v>
      </c>
      <c r="U8" s="299">
        <f t="shared" si="3"/>
        <v>71.33</v>
      </c>
      <c r="V8" s="309">
        <f>SUMIF(开!$AU$8:$AU$213,B8,开!$AD$8:$AD$213)+SUMIF('续 '!AM$8:AM$198,B8,'续 '!$V$8:$V$198)+SUMIF(竣!AM$8:AM$130,B8,竣!$V$8:$V$130)</f>
        <v>71.33</v>
      </c>
      <c r="W8" s="309">
        <f>SUMIF(开!$AU$8:$AU$213,B8,开!$AE$8:$AE$213)+SUMIF('续 '!AM$8:AM$198,B8,'续 '!$W$8:$W$198)+SUMIF(竣!AM$8:AM$130,B8,竣!$W$8:$W$130)</f>
        <v>0</v>
      </c>
      <c r="X8" s="309">
        <f>SUMIF(开!$AU$8:$AU$213,B8,开!$BR$8:$BR$213)+SUMIF('续 '!AM$8:AM$198,B8,'续 '!$BP$8:$BP$198)+SUMIF(竣!AM$8:AM$130,B8,竣!$BP$8:$BP$130)</f>
        <v>2</v>
      </c>
      <c r="Y8" s="309">
        <f>SUMIF(开!$AU$8:$AU$213,B8,开!$AF$8:$AF$213)+SUMIF('续 '!AM$8:AM$198,B8,'续 '!$X$8:$X$198)+SUMIF(竣!AM$8:AM$130,B8,竣!$X$8:$X$130)</f>
        <v>1388.8</v>
      </c>
      <c r="Z8" s="299">
        <f t="shared" si="4"/>
        <v>1386</v>
      </c>
      <c r="AA8" s="309">
        <f>SUMIF(开!$AU$8:$AU$213,B8,开!$AG$8:$AG$213)+SUMIF('续 '!AM$8:AM$198,B8,'续 '!$Y$8:$Y$198)+SUMIF(竣!AM$8:AM$130,B8,竣!$Y$8:$Y$130)</f>
        <v>1386</v>
      </c>
      <c r="AB8" s="309">
        <f>SUMIF(开!$AU$8:$AU$213,B8,开!$AH$8:$AH$213)+SUMIF('续 '!AM$8:AM$198,B8,'续 '!$Z$8:$Z$198)+SUMIF(竣!AM$8:AM$130,B8,竣!$Z$8:$Z$130)</f>
        <v>2.8</v>
      </c>
      <c r="AC8" s="309">
        <f>SUMIF(开!$AU$8:$AU$213,B8,开!$BT$8:$BT$213)+SUMIF('续 '!AM$8:AM$198,B8,'续 '!$BR$8:$BR$198)+SUMIF(竣!AM$8:AM$130,B8,竣!$BR$8:$BR$130)</f>
        <v>2</v>
      </c>
      <c r="AD8" s="309">
        <f>SUMIF(开!$AU$8:$AU$213,B8,开!$AI$8:$AI$213)+SUMIF('续 '!AM$8:AM$198,B8,'续 '!$AA$8:$AA$198)+SUMIF(竣!AM$8:AM$130,B8,竣!$AA$8:$AA$130)</f>
        <v>256</v>
      </c>
      <c r="AE8" s="299">
        <f t="shared" si="5"/>
        <v>152</v>
      </c>
      <c r="AF8" s="309">
        <f>SUMIF(开!$AU$8:$AU$213,B8,开!$AJ$8:$AJ$213)+SUMIF('续 '!AM$8:AM$198,B8,'续 '!$AB$8:$AB$198)+SUMIF(竣!AM$8:AM$130,B8,竣!$AB$8:$AB$130)</f>
        <v>152</v>
      </c>
      <c r="AG8" s="309">
        <f>SUMIF(开!$AU$8:$AU$213,B8,开!$AK$8:$AK$213)+SUMIF('续 '!AM$8:AM$198,B8,'续 '!$AC$8:$AC$198)+SUMIF(竣!AM$8:AM$130,B8,竣!$AC$8:$AC$130)</f>
        <v>104</v>
      </c>
      <c r="AH8" s="309">
        <f>SUMIF(开!$AU$8:$AU$213,B8,开!$BU$8:$BU$213)+SUMIF('续 '!AM$8:AM$198,B8,'续 '!$BS$8:$BS$198)+SUMIF(竣!AM$8:AM$130,B8,竣!$BS$8:$BS$130)</f>
        <v>13</v>
      </c>
      <c r="AI8" s="309">
        <f t="shared" si="6"/>
        <v>65.8777086</v>
      </c>
      <c r="AJ8" s="309">
        <f>(SUMIF(开!$AU$8:$AU$213,B8,开!$AL$8:$AL$213)+SUMIF('续 '!AM$8:AM$198,B8,'续 '!$AD$8:$AD$198)+SUMIF(竣!AM$8:AM$130,B8,竣!$AD$8:$AD$130))/10000</f>
        <v>7.6625</v>
      </c>
      <c r="AK8" s="299">
        <f t="shared" si="7"/>
        <v>60.9152086</v>
      </c>
      <c r="AL8" s="309">
        <f>(SUMIF(开!$AU$8:$AU$213,B8,开!$AO$8:$AO$213)+SUMIF('续 '!AM$8:AM$198,B8,'续 '!$AF$8:$AF$198)+SUMIF(竣!AM$8:AM$130,B8,竣!$AG$8:$AG$130))/10000</f>
        <v>2.7</v>
      </c>
      <c r="AM8" s="309">
        <f>(SUMIF(开!$AU$8:$AU$213,B8,开!$AP$8:$AP$213)+SUMIF('续 '!AM$8:AM$198,B8,'续 '!$AH$8:$AH$198)+SUMIF(竣!AM$8:AM$130,B8,竣!$AH$8:$AH$130))/10000</f>
        <v>4.9625</v>
      </c>
      <c r="AN8" s="326"/>
      <c r="AO8" s="326"/>
      <c r="AQ8" s="275" t="s">
        <v>2823</v>
      </c>
      <c r="AR8" s="329">
        <v>18864</v>
      </c>
      <c r="AS8" s="329">
        <v>16417</v>
      </c>
      <c r="AT8" s="329">
        <v>7962</v>
      </c>
      <c r="AU8" s="329">
        <v>16200</v>
      </c>
      <c r="AV8" s="329">
        <v>18373</v>
      </c>
    </row>
    <row r="9" ht="20.1" customHeight="1" spans="1:48">
      <c r="A9" s="320" t="s">
        <v>360</v>
      </c>
      <c r="B9" s="321" t="s">
        <v>359</v>
      </c>
      <c r="C9" s="298">
        <f>单位!F12/10000</f>
        <v>21.52288</v>
      </c>
      <c r="D9" s="298"/>
      <c r="E9" s="298"/>
      <c r="F9" s="309">
        <f>单位!I12</f>
        <v>20</v>
      </c>
      <c r="G9" s="309"/>
      <c r="H9" s="309"/>
      <c r="I9" s="309"/>
      <c r="J9" s="309">
        <f>单位!Y12</f>
        <v>9</v>
      </c>
      <c r="K9" s="309"/>
      <c r="L9" s="309"/>
      <c r="M9" s="309"/>
      <c r="N9" s="309">
        <f>SUMIF(开!$AU$8:$AU$213,B9,开!$BQ$8:$BQ$213)+SUMIF('续 '!$AM$8:$AM$198,B9,'续 '!$BO$8:$BO$198)+SUMIF(竣!$AM$8:$AM$130,B9,竣!$BO$8:$BO$130)</f>
        <v>33</v>
      </c>
      <c r="O9" s="309">
        <f>SUMIF(开!$AU$8:$AU$213,B9,开!$Z$8:$Z$213)+SUMIF('续 '!AM$8:AM$198,B9,'续 '!$R$8:$R$198)+SUMIF(竣!AM$8:AM$130,B9,竣!$R$8:$R$130)</f>
        <v>19246.0263</v>
      </c>
      <c r="P9" s="299">
        <f t="shared" si="1"/>
        <v>4598.07680000001</v>
      </c>
      <c r="Q9" s="309">
        <f>SUMIF(开!$AU$8:$AU$213,B9,开!$AA$8:$AA$213)+SUMIF('续 '!AM$8:AM$198,B9,'续 '!$S$8:$S$198)+SUMIF(竣!AM$8:AM$130,B9,竣!$S$8:$S$130)</f>
        <v>4598.4768</v>
      </c>
      <c r="R9" s="309">
        <f>SUMIF(开!$AU$8:$AU$213,B9,开!$AB$8:$AB$213)+SUMIF('续 '!AM$8:AM$198,B9,'续 '!$T$8:$T$198)+SUMIF(竣!AM$8:AM$130,B9,竣!$T$8:$T$130)</f>
        <v>14647.9495</v>
      </c>
      <c r="S9" s="309">
        <f>SUMIF(开!$AU$8:$AU$213,B9,开!$BS$8:$BS$213)+SUMIF('续 '!AM$8:AM$198,B9,'续 '!$BQ$8:$BQ$198)+SUMIF(竣!AM$8:AM$130,B9,竣!$BQ$8:$BQ$130)</f>
        <v>15</v>
      </c>
      <c r="T9" s="309">
        <f>SUMIF(开!$AU$8:$AU$213,B9,开!$AC$8:$AC$213)+SUMIF('续 '!AM$8:AM$198,B9,'续 '!$U$8:$U$198)+SUMIF(竣!AM$8:AM$130,B9,竣!$U$8:$U$130)</f>
        <v>3690.6105</v>
      </c>
      <c r="U9" s="299">
        <f t="shared" si="3"/>
        <v>2213.0105</v>
      </c>
      <c r="V9" s="309">
        <f>SUMIF(开!$AU$8:$AU$213,B9,开!$AD$8:$AD$213)+SUMIF('续 '!AM$8:AM$198,B9,'续 '!$V$8:$V$198)+SUMIF(竣!AM$8:AM$130,B9,竣!$V$8:$V$130)</f>
        <v>2213.6105</v>
      </c>
      <c r="W9" s="309">
        <f>SUMIF(开!$AU$8:$AU$213,B9,开!$AE$8:$AE$213)+SUMIF('续 '!AM$8:AM$198,B9,'续 '!$W$8:$W$198)+SUMIF(竣!AM$8:AM$130,B9,竣!$W$8:$W$130)</f>
        <v>1477.6</v>
      </c>
      <c r="X9" s="309">
        <f>SUMIF(开!$AU$8:$AU$213,B9,开!$BR$8:$BR$213)+SUMIF('续 '!AM$8:AM$198,B9,'续 '!$BP$8:$BP$198)+SUMIF(竣!AM$8:AM$130,B9,竣!$BP$8:$BP$130)</f>
        <v>3</v>
      </c>
      <c r="Y9" s="309">
        <f>SUMIF(开!$AU$8:$AU$213,B9,开!$AF$8:$AF$213)+SUMIF('续 '!AM$8:AM$198,B9,'续 '!$X$8:$X$198)+SUMIF(竣!AM$8:AM$130,B9,竣!$X$8:$X$130)</f>
        <v>2615</v>
      </c>
      <c r="Z9" s="299">
        <f t="shared" si="4"/>
        <v>1275</v>
      </c>
      <c r="AA9" s="309">
        <f>SUMIF(开!$AU$8:$AU$213,B9,开!$AG$8:$AG$213)+SUMIF('续 '!AM$8:AM$198,B9,'续 '!$Y$8:$Y$198)+SUMIF(竣!AM$8:AM$130,B9,竣!$Y$8:$Y$130)</f>
        <v>1275</v>
      </c>
      <c r="AB9" s="309">
        <f>SUMIF(开!$AU$8:$AU$213,B9,开!$AH$8:$AH$213)+SUMIF('续 '!AM$8:AM$198,B9,'续 '!$Z$8:$Z$198)+SUMIF(竣!AM$8:AM$130,B9,竣!$Z$8:$Z$130)</f>
        <v>1340</v>
      </c>
      <c r="AC9" s="309">
        <f>SUMIF(开!$AU$8:$AU$213,B9,开!$BT$8:$BT$213)+SUMIF('续 '!AM$8:AM$198,B9,'续 '!$BR$8:$BR$198)+SUMIF(竣!AM$8:AM$130,B9,竣!$BR$8:$BR$130)</f>
        <v>17</v>
      </c>
      <c r="AD9" s="309">
        <f>SUMIF(开!$AU$8:$AU$213,B9,开!$AI$8:$AI$213)+SUMIF('续 '!AM$8:AM$198,B9,'续 '!$AA$8:$AA$198)+SUMIF(竣!AM$8:AM$130,B9,竣!$AA$8:$AA$130)</f>
        <v>1534.0782</v>
      </c>
      <c r="AE9" s="299">
        <f t="shared" si="5"/>
        <v>1098.8792</v>
      </c>
      <c r="AF9" s="309">
        <f>SUMIF(开!$AU$8:$AU$213,B9,开!$AJ$8:$AJ$213)+SUMIF('续 '!AM$8:AM$198,B9,'续 '!$AB$8:$AB$198)+SUMIF(竣!AM$8:AM$130,B9,竣!$AB$8:$AB$130)</f>
        <v>1098.3692</v>
      </c>
      <c r="AG9" s="309">
        <f>SUMIF(开!$AU$8:$AU$213,B9,开!$AK$8:$AK$213)+SUMIF('续 '!AM$8:AM$198,B9,'续 '!$AC$8:$AC$198)+SUMIF(竣!AM$8:AM$130,B9,竣!$AC$8:$AC$130)</f>
        <v>435.199</v>
      </c>
      <c r="AH9" s="309">
        <f>SUMIF(开!$AU$8:$AU$213,B9,开!$BU$8:$BU$213)+SUMIF('续 '!AM$8:AM$198,B9,'续 '!$BS$8:$BS$198)+SUMIF(竣!AM$8:AM$130,B9,竣!$BS$8:$BS$130)</f>
        <v>35</v>
      </c>
      <c r="AI9" s="309">
        <f t="shared" si="6"/>
        <v>21.52288</v>
      </c>
      <c r="AJ9" s="309">
        <f>(SUMIF(开!$AU$8:$AU$213,B9,开!$AL$8:$AL$213)+SUMIF('续 '!AM$8:AM$198,B9,'续 '!$AD$8:$AD$198)+SUMIF(竣!AM$8:AM$130,B9,竣!$AD$8:$AD$130))/10000</f>
        <v>13.864</v>
      </c>
      <c r="AK9" s="299">
        <f t="shared" si="7"/>
        <v>17.42108</v>
      </c>
      <c r="AL9" s="309">
        <f>(SUMIF(开!$AU$8:$AU$213,B9,开!$AO$8:$AO$213)+SUMIF('续 '!AM$8:AM$198,B9,'续 '!$AF$8:$AF$198)+SUMIF(竣!AM$8:AM$130,B9,竣!$AG$8:$AG$130))/10000</f>
        <v>9.7622</v>
      </c>
      <c r="AM9" s="309">
        <f>(SUMIF(开!$AU$8:$AU$213,B9,开!$AP$8:$AP$213)+SUMIF('续 '!AM$8:AM$198,B9,'续 '!$AH$8:$AH$198)+SUMIF(竣!AM$8:AM$130,B9,竣!$AH$8:$AH$130))/10000</f>
        <v>4.1018</v>
      </c>
      <c r="AN9" s="326"/>
      <c r="AO9" s="326"/>
      <c r="AQ9" s="275" t="s">
        <v>2824</v>
      </c>
      <c r="AR9" s="329">
        <f t="shared" ref="AR9:AV9" si="8">SUM(AR6:AR8)</f>
        <v>136906.5</v>
      </c>
      <c r="AS9" s="329">
        <f t="shared" si="8"/>
        <v>82435</v>
      </c>
      <c r="AT9" s="329">
        <f t="shared" si="8"/>
        <v>9862</v>
      </c>
      <c r="AU9" s="329">
        <f t="shared" si="8"/>
        <v>859303.81</v>
      </c>
      <c r="AV9" s="329">
        <f t="shared" si="8"/>
        <v>547931.67</v>
      </c>
    </row>
    <row r="10" ht="20.1" customHeight="1" spans="1:49">
      <c r="A10" s="320" t="s">
        <v>376</v>
      </c>
      <c r="B10" s="321" t="s">
        <v>375</v>
      </c>
      <c r="C10" s="298">
        <f>单位!F14/10000</f>
        <v>34.4254</v>
      </c>
      <c r="D10" s="298"/>
      <c r="E10" s="298"/>
      <c r="F10" s="309">
        <f>单位!I14</f>
        <v>22</v>
      </c>
      <c r="G10" s="309"/>
      <c r="H10" s="309"/>
      <c r="I10" s="309"/>
      <c r="J10" s="309">
        <f>单位!Y14</f>
        <v>18</v>
      </c>
      <c r="K10" s="309"/>
      <c r="L10" s="309"/>
      <c r="M10" s="309"/>
      <c r="N10" s="309">
        <f>SUMIF(开!$AU$8:$AU$213,B10,开!$BQ$8:$BQ$213)+SUMIF('续 '!$AM$8:$AM$198,B10,'续 '!$BO$8:$BO$198)+SUMIF(竣!$AM$8:$AM$130,B10,竣!$BO$8:$BO$130)</f>
        <v>25</v>
      </c>
      <c r="O10" s="309">
        <f>SUMIF(开!$AU$8:$AU$213,B10,开!$Z$8:$Z$213)+SUMIF('续 '!AM$8:AM$198,B10,'续 '!$R$8:$R$198)+SUMIF(竣!AM$8:AM$130,B10,竣!$R$8:$R$130)</f>
        <v>3259.52</v>
      </c>
      <c r="P10" s="299">
        <f t="shared" si="1"/>
        <v>1844</v>
      </c>
      <c r="Q10" s="309">
        <f>SUMIF(开!$AU$8:$AU$213,B10,开!$AA$8:$AA$213)+SUMIF('续 '!AM$8:AM$198,B10,'续 '!$S$8:$S$198)+SUMIF(竣!AM$8:AM$130,B10,竣!$S$8:$S$130)</f>
        <v>1844</v>
      </c>
      <c r="R10" s="309">
        <f>SUMIF(开!$AU$8:$AU$213,B10,开!$AB$8:$AB$213)+SUMIF('续 '!AM$8:AM$198,B10,'续 '!$T$8:$T$198)+SUMIF(竣!AM$8:AM$130,B10,竣!$T$8:$T$130)</f>
        <v>1415.52</v>
      </c>
      <c r="S10" s="309">
        <f>SUMIF(开!$AU$8:$AU$213,B10,开!$BS$8:$BS$213)+SUMIF('续 '!AM$8:AM$198,B10,'续 '!$BQ$8:$BQ$198)+SUMIF(竣!AM$8:AM$130,B10,竣!$BQ$8:$BQ$130)</f>
        <v>1</v>
      </c>
      <c r="T10" s="309">
        <f>SUMIF(开!$AU$8:$AU$213,B10,开!$AC$8:$AC$213)+SUMIF('续 '!AM$8:AM$198,B10,'续 '!$U$8:$U$198)+SUMIF(竣!AM$8:AM$130,B10,竣!$U$8:$U$130)</f>
        <v>8.52</v>
      </c>
      <c r="U10" s="299">
        <f t="shared" si="3"/>
        <v>8.52</v>
      </c>
      <c r="V10" s="309">
        <f>SUMIF(开!$AU$8:$AU$213,B10,开!$AD$8:$AD$213)+SUMIF('续 '!AM$8:AM$198,B10,'续 '!$V$8:$V$198)+SUMIF(竣!AM$8:AM$130,B10,竣!$V$8:$V$130)</f>
        <v>8.52</v>
      </c>
      <c r="W10" s="309">
        <f>SUMIF(开!$AU$8:$AU$213,B10,开!$AE$8:$AE$213)+SUMIF('续 '!AM$8:AM$198,B10,'续 '!$W$8:$W$198)+SUMIF(竣!AM$8:AM$130,B10,竣!$W$8:$W$130)</f>
        <v>0</v>
      </c>
      <c r="X10" s="309">
        <f>SUMIF(开!$AU$8:$AU$213,B10,开!$BR$8:$BR$213)+SUMIF('续 '!AM$8:AM$198,B10,'续 '!$BP$8:$BP$198)+SUMIF(竣!AM$8:AM$130,B10,竣!$BP$8:$BP$130)</f>
        <v>0</v>
      </c>
      <c r="Y10" s="309">
        <f>SUMIF(开!$AU$8:$AU$213,B10,开!$AF$8:$AF$213)+SUMIF('续 '!AM$8:AM$198,B10,'续 '!$X$8:$X$198)+SUMIF(竣!AM$8:AM$130,B10,竣!$X$8:$X$130)</f>
        <v>0</v>
      </c>
      <c r="Z10" s="299">
        <f t="shared" si="4"/>
        <v>0</v>
      </c>
      <c r="AA10" s="309">
        <f>SUMIF(开!$AU$8:$AU$213,B10,开!$AG$8:$AG$213)+SUMIF('续 '!AM$8:AM$198,B10,'续 '!$Y$8:$Y$198)+SUMIF(竣!AM$8:AM$130,B10,竣!$Y$8:$Y$130)</f>
        <v>0</v>
      </c>
      <c r="AB10" s="309">
        <f>SUMIF(开!$AU$8:$AU$213,B10,开!$AH$8:$AH$213)+SUMIF('续 '!AM$8:AM$198,B10,'续 '!$Z$8:$Z$198)+SUMIF(竣!AM$8:AM$130,B10,竣!$Z$8:$Z$130)</f>
        <v>0</v>
      </c>
      <c r="AC10" s="309">
        <f>SUMIF(开!$AU$8:$AU$213,B10,开!$BT$8:$BT$213)+SUMIF('续 '!AM$8:AM$198,B10,'续 '!$BR$8:$BR$198)+SUMIF(竣!AM$8:AM$130,B10,竣!$BR$8:$BR$130)</f>
        <v>3</v>
      </c>
      <c r="AD10" s="309">
        <f>SUMIF(开!$AU$8:$AU$213,B10,开!$AI$8:$AI$213)+SUMIF('续 '!AM$8:AM$198,B10,'续 '!$AA$8:$AA$198)+SUMIF(竣!AM$8:AM$130,B10,竣!$AA$8:$AA$130)</f>
        <v>108.52</v>
      </c>
      <c r="AE10" s="299">
        <f t="shared" si="5"/>
        <v>5.52</v>
      </c>
      <c r="AF10" s="309">
        <f>SUMIF(开!$AU$8:$AU$213,B10,开!$AJ$8:$AJ$213)+SUMIF('续 '!AM$8:AM$198,B10,'续 '!$AB$8:$AB$198)+SUMIF(竣!AM$8:AM$130,B10,竣!$AB$8:$AB$130)</f>
        <v>5.52</v>
      </c>
      <c r="AG10" s="309">
        <f>SUMIF(开!$AU$8:$AU$213,B10,开!$AK$8:$AK$213)+SUMIF('续 '!AM$8:AM$198,B10,'续 '!$AC$8:$AC$198)+SUMIF(竣!AM$8:AM$130,B10,竣!$AC$8:$AC$130)</f>
        <v>103</v>
      </c>
      <c r="AH10" s="309">
        <f>SUMIF(开!$AU$8:$AU$213,B10,开!$BU$8:$BU$213)+SUMIF('续 '!AM$8:AM$198,B10,'续 '!$BS$8:$BS$198)+SUMIF(竣!AM$8:AM$130,B10,竣!$BS$8:$BS$130)</f>
        <v>4</v>
      </c>
      <c r="AI10" s="309">
        <f t="shared" si="6"/>
        <v>34.4254</v>
      </c>
      <c r="AJ10" s="309">
        <f>(SUMIF(开!$AU$8:$AU$213,B10,开!$AL$8:$AL$213)+SUMIF('续 '!AM$8:AM$198,B10,'续 '!$AD$8:$AD$198)+SUMIF(竣!AM$8:AM$130,B10,竣!$AD$8:$AD$130))/10000</f>
        <v>2.4284</v>
      </c>
      <c r="AK10" s="299">
        <f t="shared" si="7"/>
        <v>33.4254</v>
      </c>
      <c r="AL10" s="309">
        <f>(SUMIF(开!$AU$8:$AU$213,B10,开!$AO$8:$AO$213)+SUMIF('续 '!AM$8:AM$198,B10,'续 '!$AF$8:$AF$198)+SUMIF(竣!AM$8:AM$130,B10,竣!$AG$8:$AG$130))/10000</f>
        <v>1.4284</v>
      </c>
      <c r="AM10" s="309">
        <f>(SUMIF(开!$AU$8:$AU$213,B10,开!$AP$8:$AP$213)+SUMIF('续 '!AM$8:AM$198,B10,'续 '!$AH$8:$AH$198)+SUMIF(竣!AM$8:AM$130,B10,竣!$AH$8:$AH$130))/10000</f>
        <v>1</v>
      </c>
      <c r="AN10" s="326"/>
      <c r="AO10" s="326"/>
      <c r="AQ10" s="275" t="s">
        <v>2825</v>
      </c>
      <c r="AR10" s="329">
        <f t="shared" ref="AR10:AV10" si="9">AR9/10000</f>
        <v>13.69065</v>
      </c>
      <c r="AS10" s="329">
        <f t="shared" si="9"/>
        <v>8.2435</v>
      </c>
      <c r="AT10" s="329">
        <f t="shared" si="9"/>
        <v>0.9862</v>
      </c>
      <c r="AU10" s="329">
        <f t="shared" si="9"/>
        <v>85.930381</v>
      </c>
      <c r="AV10" s="329">
        <f t="shared" si="9"/>
        <v>54.793167</v>
      </c>
      <c r="AW10" s="329">
        <f>321-AR10-AS10-AT10-AU10</f>
        <v>212.149269</v>
      </c>
    </row>
    <row r="11" ht="20.1" customHeight="1" spans="1:48">
      <c r="A11" s="320" t="s">
        <v>270</v>
      </c>
      <c r="B11" s="321" t="s">
        <v>269</v>
      </c>
      <c r="C11" s="298">
        <f>单位!F9/10000</f>
        <v>40.2723</v>
      </c>
      <c r="D11" s="298"/>
      <c r="E11" s="298"/>
      <c r="F11" s="309">
        <f>单位!I9</f>
        <v>43</v>
      </c>
      <c r="G11" s="309"/>
      <c r="H11" s="309"/>
      <c r="I11" s="309"/>
      <c r="J11" s="309">
        <f>单位!Y9</f>
        <v>12</v>
      </c>
      <c r="K11" s="309"/>
      <c r="L11" s="309"/>
      <c r="M11" s="309"/>
      <c r="N11" s="309">
        <f>SUMIF(开!$AU$8:$AU$213,B11,开!$BQ$8:$BQ$213)+SUMIF('续 '!$AM$8:$AM$198,B11,'续 '!$BO$8:$BO$198)+SUMIF(竣!$AM$8:$AM$130,B11,竣!$BO$8:$BO$130)</f>
        <v>24</v>
      </c>
      <c r="O11" s="309">
        <f>SUMIF(开!$AU$8:$AU$213,B11,开!$Z$8:$Z$213)+SUMIF('续 '!AM$8:AM$198,B11,'续 '!$R$8:$R$198)+SUMIF(竣!AM$8:AM$130,B11,竣!$R$8:$R$130)</f>
        <v>9116.945</v>
      </c>
      <c r="P11" s="299">
        <f t="shared" si="1"/>
        <v>2690.945</v>
      </c>
      <c r="Q11" s="309">
        <f>SUMIF(开!$AU$8:$AU$213,B11,开!$AA$8:$AA$213)+SUMIF('续 '!AM$8:AM$198,B11,'续 '!$S$8:$S$198)+SUMIF(竣!AM$8:AM$130,B11,竣!$S$8:$S$130)</f>
        <v>2690.945</v>
      </c>
      <c r="R11" s="309">
        <f>SUMIF(开!$AU$8:$AU$213,B11,开!$AB$8:$AB$213)+SUMIF('续 '!AM$8:AM$198,B11,'续 '!$T$8:$T$198)+SUMIF(竣!AM$8:AM$130,B11,竣!$T$8:$T$130)</f>
        <v>6426</v>
      </c>
      <c r="S11" s="309">
        <f>SUMIF(开!$AU$8:$AU$213,B11,开!$BS$8:$BS$213)+SUMIF('续 '!AM$8:AM$198,B11,'续 '!$BQ$8:$BQ$198)+SUMIF(竣!AM$8:AM$130,B11,竣!$BQ$8:$BQ$130)</f>
        <v>3</v>
      </c>
      <c r="T11" s="309">
        <f>SUMIF(开!$AU$8:$AU$213,B11,开!$AC$8:$AC$213)+SUMIF('续 '!AM$8:AM$198,B11,'续 '!$U$8:$U$198)+SUMIF(竣!AM$8:AM$130,B11,竣!$U$8:$U$130)</f>
        <v>515.124</v>
      </c>
      <c r="U11" s="299">
        <f t="shared" si="3"/>
        <v>515.124</v>
      </c>
      <c r="V11" s="309">
        <f>SUMIF(开!$AU$8:$AU$213,B11,开!$AD$8:$AD$213)+SUMIF('续 '!AM$8:AM$198,B11,'续 '!$V$8:$V$198)+SUMIF(竣!AM$8:AM$130,B11,竣!$V$8:$V$130)</f>
        <v>515.124</v>
      </c>
      <c r="W11" s="309">
        <f>SUMIF(开!$AU$8:$AU$213,B11,开!$AE$8:$AE$213)+SUMIF('续 '!AM$8:AM$198,B11,'续 '!$W$8:$W$198)+SUMIF(竣!AM$8:AM$130,B11,竣!$W$8:$W$130)</f>
        <v>0</v>
      </c>
      <c r="X11" s="309">
        <f>SUMIF(开!$AU$8:$AU$213,B11,开!$BR$8:$BR$213)+SUMIF('续 '!AM$8:AM$198,B11,'续 '!$BP$8:$BP$198)+SUMIF(竣!AM$8:AM$130,B11,竣!$BP$8:$BP$130)</f>
        <v>0</v>
      </c>
      <c r="Y11" s="309">
        <f>SUMIF(开!$AU$8:$AU$213,B11,开!$AF$8:$AF$213)+SUMIF('续 '!AM$8:AM$198,B11,'续 '!$X$8:$X$198)+SUMIF(竣!AM$8:AM$130,B11,竣!$X$8:$X$130)</f>
        <v>0</v>
      </c>
      <c r="Z11" s="299">
        <f t="shared" si="4"/>
        <v>0</v>
      </c>
      <c r="AA11" s="309">
        <f>SUMIF(开!$AU$8:$AU$213,B11,开!$AG$8:$AG$213)+SUMIF('续 '!AM$8:AM$198,B11,'续 '!$Y$8:$Y$198)+SUMIF(竣!AM$8:AM$130,B11,竣!$Y$8:$Y$130)</f>
        <v>0</v>
      </c>
      <c r="AB11" s="309">
        <f>SUMIF(开!$AU$8:$AU$213,B11,开!$AH$8:$AH$213)+SUMIF('续 '!AM$8:AM$198,B11,'续 '!$Z$8:$Z$198)+SUMIF(竣!AM$8:AM$130,B11,竣!$Z$8:$Z$130)</f>
        <v>0</v>
      </c>
      <c r="AC11" s="309">
        <f>SUMIF(开!$AU$8:$AU$213,B11,开!$BT$8:$BT$213)+SUMIF('续 '!AM$8:AM$198,B11,'续 '!$BR$8:$BR$198)+SUMIF(竣!AM$8:AM$130,B11,竣!$BR$8:$BR$130)</f>
        <v>25</v>
      </c>
      <c r="AD11" s="309">
        <f>SUMIF(开!$AU$8:$AU$213,B11,开!$AI$8:$AI$213)+SUMIF('续 '!AM$8:AM$198,B11,'续 '!$AA$8:$AA$198)+SUMIF(竣!AM$8:AM$130,B11,竣!$AA$8:$AA$130)</f>
        <v>6274.54</v>
      </c>
      <c r="AE11" s="299">
        <f t="shared" si="5"/>
        <v>2897.54</v>
      </c>
      <c r="AF11" s="309">
        <f>SUMIF(开!$AU$8:$AU$213,B11,开!$AJ$8:$AJ$213)+SUMIF('续 '!AM$8:AM$198,B11,'续 '!$AB$8:$AB$198)+SUMIF(竣!AM$8:AM$130,B11,竣!$AB$8:$AB$130)</f>
        <v>2897.54</v>
      </c>
      <c r="AG11" s="309">
        <f>SUMIF(开!$AU$8:$AU$213,B11,开!$AK$8:$AK$213)+SUMIF('续 '!AM$8:AM$198,B11,'续 '!$AC$8:$AC$198)+SUMIF(竣!AM$8:AM$130,B11,竣!$AC$8:$AC$130)</f>
        <v>3377</v>
      </c>
      <c r="AH11" s="309">
        <f>SUMIF(开!$AU$8:$AU$213,B11,开!$BU$8:$BU$213)+SUMIF('续 '!AM$8:AM$198,B11,'续 '!$BS$8:$BS$198)+SUMIF(竣!AM$8:AM$130,B11,竣!$BS$8:$BS$130)</f>
        <v>5</v>
      </c>
      <c r="AI11" s="309">
        <f t="shared" si="6"/>
        <v>40.2723</v>
      </c>
      <c r="AJ11" s="309">
        <f>(SUMIF(开!$AU$8:$AU$213,B11,开!$AL$8:$AL$213)+SUMIF('续 '!AM$8:AM$198,B11,'续 '!$AD$8:$AD$198)+SUMIF(竣!AM$8:AM$130,B11,竣!$AD$8:$AD$130))/10000</f>
        <v>1.46</v>
      </c>
      <c r="AK11" s="299">
        <f t="shared" si="7"/>
        <v>38.9123</v>
      </c>
      <c r="AL11" s="309">
        <f>(SUMIF(开!$AU$8:$AU$213,B11,开!$AO$8:$AO$213)+SUMIF('续 '!AM$8:AM$198,B11,'续 '!$AF$8:$AF$198)+SUMIF(竣!AM$8:AM$130,B11,竣!$AG$8:$AG$130))/10000</f>
        <v>0.1</v>
      </c>
      <c r="AM11" s="309">
        <f>(SUMIF(开!$AU$8:$AU$213,B11,开!$AP$8:$AP$213)+SUMIF('续 '!AM$8:AM$198,B11,'续 '!$AH$8:$AH$198)+SUMIF(竣!AM$8:AM$130,B11,竣!$AH$8:$AH$130))/10000</f>
        <v>1.36</v>
      </c>
      <c r="AN11" s="326"/>
      <c r="AO11" s="326"/>
      <c r="AQ11" s="275" t="s">
        <v>2826</v>
      </c>
      <c r="AR11" s="329">
        <f t="shared" ref="AR11:AV11" si="10">AR7+AR8</f>
        <v>127309.5</v>
      </c>
      <c r="AS11" s="329">
        <f t="shared" si="10"/>
        <v>76191</v>
      </c>
      <c r="AT11" s="329">
        <f t="shared" si="10"/>
        <v>9462</v>
      </c>
      <c r="AU11" s="329">
        <f t="shared" si="10"/>
        <v>540807.81</v>
      </c>
      <c r="AV11" s="329">
        <f t="shared" si="10"/>
        <v>414777.67</v>
      </c>
    </row>
    <row r="12" ht="20.1" customHeight="1" spans="1:49">
      <c r="A12" s="320" t="s">
        <v>318</v>
      </c>
      <c r="B12" s="321" t="s">
        <v>317</v>
      </c>
      <c r="C12" s="298">
        <f>单位!F10/10000</f>
        <v>21.7765</v>
      </c>
      <c r="D12" s="298"/>
      <c r="E12" s="298"/>
      <c r="F12" s="309">
        <f>单位!I10</f>
        <v>14</v>
      </c>
      <c r="G12" s="309"/>
      <c r="H12" s="309"/>
      <c r="I12" s="309"/>
      <c r="J12" s="309">
        <f>单位!Y10</f>
        <v>11</v>
      </c>
      <c r="K12" s="309"/>
      <c r="L12" s="309"/>
      <c r="M12" s="309"/>
      <c r="N12" s="309">
        <f>SUMIF(开!$AU$8:$AU$213,B12,开!$BQ$8:$BQ$213)+SUMIF('续 '!$AM$8:$AM$198,B12,'续 '!$BO$8:$BO$198)+SUMIF(竣!$AM$8:$AM$130,B12,竣!$BO$8:$BO$130)</f>
        <v>31</v>
      </c>
      <c r="O12" s="309">
        <f>SUMIF(开!$AU$8:$AU$213,B12,开!$Z$8:$Z$213)+SUMIF('续 '!AM$8:AM$198,B12,'续 '!$R$8:$R$198)+SUMIF(竣!AM$8:AM$130,B12,竣!$R$8:$R$130)</f>
        <v>14354.8347</v>
      </c>
      <c r="P12" s="299">
        <f t="shared" si="1"/>
        <v>9457.004</v>
      </c>
      <c r="Q12" s="309">
        <f>SUMIF(开!$AU$8:$AU$213,B12,开!$AA$8:$AA$213)+SUMIF('续 '!AM$8:AM$198,B12,'续 '!$S$8:$S$198)+SUMIF(竣!AM$8:AM$130,B12,竣!$S$8:$S$130)</f>
        <v>9457.004</v>
      </c>
      <c r="R12" s="309">
        <f>SUMIF(开!$AU$8:$AU$213,B12,开!$AB$8:$AB$213)+SUMIF('续 '!AM$8:AM$198,B12,'续 '!$T$8:$T$198)+SUMIF(竣!AM$8:AM$130,B12,竣!$T$8:$T$130)</f>
        <v>4897.8307</v>
      </c>
      <c r="S12" s="309">
        <f>SUMIF(开!$AU$8:$AU$213,B12,开!$BS$8:$BS$213)+SUMIF('续 '!AM$8:AM$198,B12,'续 '!$BQ$8:$BQ$198)+SUMIF(竣!AM$8:AM$130,B12,竣!$BQ$8:$BQ$130)</f>
        <v>5</v>
      </c>
      <c r="T12" s="309">
        <f>SUMIF(开!$AU$8:$AU$213,B12,开!$AC$8:$AC$213)+SUMIF('续 '!AM$8:AM$198,B12,'续 '!$U$8:$U$198)+SUMIF(竣!AM$8:AM$130,B12,竣!$U$8:$U$130)</f>
        <v>1412.614</v>
      </c>
      <c r="U12" s="299">
        <f t="shared" si="3"/>
        <v>1412.614</v>
      </c>
      <c r="V12" s="309">
        <f>SUMIF(开!$AU$8:$AU$213,B12,开!$AD$8:$AD$213)+SUMIF('续 '!AM$8:AM$198,B12,'续 '!$V$8:$V$198)+SUMIF(竣!AM$8:AM$130,B12,竣!$V$8:$V$130)</f>
        <v>1412.068</v>
      </c>
      <c r="W12" s="309">
        <f>SUMIF(开!$AU$8:$AU$213,B12,开!$AE$8:$AE$213)+SUMIF('续 '!AM$8:AM$198,B12,'续 '!$W$8:$W$198)+SUMIF(竣!AM$8:AM$130,B12,竣!$W$8:$W$130)</f>
        <v>0</v>
      </c>
      <c r="X12" s="309">
        <f>SUMIF(开!$AU$8:$AU$213,B12,开!$BR$8:$BR$213)+SUMIF('续 '!AM$8:AM$198,B12,'续 '!$BP$8:$BP$198)+SUMIF(竣!AM$8:AM$130,B12,竣!$BP$8:$BP$130)</f>
        <v>0</v>
      </c>
      <c r="Y12" s="309">
        <f>SUMIF(开!$AU$8:$AU$213,B12,开!$AF$8:$AF$213)+SUMIF('续 '!AM$8:AM$198,B12,'续 '!$X$8:$X$198)+SUMIF(竣!AM$8:AM$130,B12,竣!$X$8:$X$130)</f>
        <v>0</v>
      </c>
      <c r="Z12" s="299">
        <f t="shared" si="4"/>
        <v>0</v>
      </c>
      <c r="AA12" s="309">
        <f>SUMIF(开!$AU$8:$AU$213,B12,开!$AG$8:$AG$213)+SUMIF('续 '!AM$8:AM$198,B12,'续 '!$Y$8:$Y$198)+SUMIF(竣!AM$8:AM$130,B12,竣!$Y$8:$Y$130)</f>
        <v>0</v>
      </c>
      <c r="AB12" s="309">
        <f>SUMIF(开!$AU$8:$AU$213,B12,开!$AH$8:$AH$213)+SUMIF('续 '!AM$8:AM$198,B12,'续 '!$Z$8:$Z$198)+SUMIF(竣!AM$8:AM$130,B12,竣!$Z$8:$Z$130)</f>
        <v>0</v>
      </c>
      <c r="AC12" s="309">
        <f>SUMIF(开!$AU$8:$AU$213,B12,开!$BT$8:$BT$213)+SUMIF('续 '!AM$8:AM$198,B12,'续 '!$BR$8:$BR$198)+SUMIF(竣!AM$8:AM$130,B12,竣!$BR$8:$BR$130)</f>
        <v>5</v>
      </c>
      <c r="AD12" s="309">
        <f>SUMIF(开!$AU$8:$AU$213,B12,开!$AI$8:$AI$213)+SUMIF('续 '!AM$8:AM$198,B12,'续 '!$AA$8:$AA$198)+SUMIF(竣!AM$8:AM$130,B12,竣!$AA$8:$AA$130)</f>
        <v>547.77</v>
      </c>
      <c r="AE12" s="299">
        <f t="shared" si="5"/>
        <v>26.53</v>
      </c>
      <c r="AF12" s="309">
        <f>SUMIF(开!$AU$8:$AU$213,B12,开!$AJ$8:$AJ$213)+SUMIF('续 '!AM$8:AM$198,B12,'续 '!$AB$8:$AB$198)+SUMIF(竣!AM$8:AM$130,B12,竣!$AB$8:$AB$130)</f>
        <v>26.53</v>
      </c>
      <c r="AG12" s="309">
        <f>SUMIF(开!$AU$8:$AU$213,B12,开!$AK$8:$AK$213)+SUMIF('续 '!AM$8:AM$198,B12,'续 '!$AC$8:$AC$198)+SUMIF(竣!AM$8:AM$130,B12,竣!$AC$8:$AC$130)</f>
        <v>521.24</v>
      </c>
      <c r="AH12" s="309">
        <f>SUMIF(开!$AU$8:$AU$213,B12,开!$BU$8:$BU$213)+SUMIF('续 '!AM$8:AM$198,B12,'续 '!$BS$8:$BS$198)+SUMIF(竣!AM$8:AM$130,B12,竣!$BS$8:$BS$130)</f>
        <v>13</v>
      </c>
      <c r="AI12" s="309">
        <f t="shared" si="6"/>
        <v>21.7765</v>
      </c>
      <c r="AJ12" s="309">
        <f>(SUMIF(开!$AU$8:$AU$213,B12,开!$AL$8:$AL$213)+SUMIF('续 '!AM$8:AM$198,B12,'续 '!$AD$8:$AD$198)+SUMIF(竣!AM$8:AM$130,B12,竣!$AD$8:$AD$130))/10000</f>
        <v>4.8784</v>
      </c>
      <c r="AK12" s="299">
        <f t="shared" si="7"/>
        <v>18.5892</v>
      </c>
      <c r="AL12" s="309">
        <f>(SUMIF(开!$AU$8:$AU$213,B12,开!$AO$8:$AO$213)+SUMIF('续 '!AM$8:AM$198,B12,'续 '!$AF$8:$AF$198)+SUMIF(竣!AM$8:AM$130,B12,竣!$AG$8:$AG$130))/10000</f>
        <v>2.5044</v>
      </c>
      <c r="AM12" s="309">
        <f>(SUMIF(开!$AU$8:$AU$213,B12,开!$AP$8:$AP$213)+SUMIF('续 '!AM$8:AM$198,B12,'续 '!$AH$8:$AH$198)+SUMIF(竣!AM$8:AM$130,B12,竣!$AH$8:$AH$130))/10000</f>
        <v>3.1873</v>
      </c>
      <c r="AN12" s="326"/>
      <c r="AO12" s="326"/>
      <c r="AQ12" s="275" t="s">
        <v>2827</v>
      </c>
      <c r="AR12" s="329">
        <f t="shared" ref="AR12:AV12" si="11">AR11/10000</f>
        <v>12.73095</v>
      </c>
      <c r="AS12" s="329">
        <f t="shared" si="11"/>
        <v>7.6191</v>
      </c>
      <c r="AT12" s="329">
        <f t="shared" si="11"/>
        <v>0.9462</v>
      </c>
      <c r="AU12" s="329">
        <f t="shared" si="11"/>
        <v>54.080781</v>
      </c>
      <c r="AV12" s="329">
        <f t="shared" si="11"/>
        <v>41.477767</v>
      </c>
      <c r="AW12" s="329">
        <f>152-AR12-AS12-AT12-AU12</f>
        <v>76.622969</v>
      </c>
    </row>
    <row r="13" ht="20.1" customHeight="1" spans="1:41">
      <c r="A13" s="319" t="s">
        <v>2828</v>
      </c>
      <c r="B13" s="322"/>
      <c r="C13" s="293">
        <f>SUM(C14:C19)</f>
        <v>96.8176</v>
      </c>
      <c r="D13" s="293"/>
      <c r="E13" s="293"/>
      <c r="F13" s="308">
        <f>SUM(F14:F19)</f>
        <v>38</v>
      </c>
      <c r="G13" s="309"/>
      <c r="H13" s="309"/>
      <c r="I13" s="309"/>
      <c r="J13" s="308">
        <f t="shared" ref="J13:O13" si="12">SUM(J14:J19)</f>
        <v>25</v>
      </c>
      <c r="K13" s="308"/>
      <c r="L13" s="308"/>
      <c r="M13" s="308"/>
      <c r="N13" s="308">
        <f t="shared" si="12"/>
        <v>71</v>
      </c>
      <c r="O13" s="308">
        <f t="shared" si="12"/>
        <v>22159.92</v>
      </c>
      <c r="P13" s="294">
        <f t="shared" si="1"/>
        <v>9594.1755</v>
      </c>
      <c r="Q13" s="308">
        <f t="shared" ref="Q13:T13" si="13">SUM(Q14:Q19)</f>
        <v>9741.1955</v>
      </c>
      <c r="R13" s="308">
        <f t="shared" si="13"/>
        <v>12565.7445</v>
      </c>
      <c r="S13" s="308">
        <f t="shared" si="13"/>
        <v>28</v>
      </c>
      <c r="T13" s="308">
        <f t="shared" si="13"/>
        <v>10295.382</v>
      </c>
      <c r="U13" s="294">
        <f t="shared" si="3"/>
        <v>4213.082</v>
      </c>
      <c r="V13" s="308">
        <f t="shared" ref="V13:Y13" si="14">SUM(V14:V19)</f>
        <v>4124.297</v>
      </c>
      <c r="W13" s="308">
        <f t="shared" si="14"/>
        <v>6082.3</v>
      </c>
      <c r="X13" s="308">
        <f t="shared" si="14"/>
        <v>2</v>
      </c>
      <c r="Y13" s="308">
        <f t="shared" si="14"/>
        <v>286</v>
      </c>
      <c r="Z13" s="294">
        <f t="shared" si="4"/>
        <v>0</v>
      </c>
      <c r="AA13" s="308">
        <f t="shared" ref="AA13:AD13" si="15">SUM(AA14:AA19)</f>
        <v>0</v>
      </c>
      <c r="AB13" s="308">
        <f t="shared" si="15"/>
        <v>286</v>
      </c>
      <c r="AC13" s="308">
        <f t="shared" si="15"/>
        <v>39</v>
      </c>
      <c r="AD13" s="308">
        <f t="shared" si="15"/>
        <v>11796.66</v>
      </c>
      <c r="AE13" s="294">
        <f t="shared" si="5"/>
        <v>1680.1</v>
      </c>
      <c r="AF13" s="308">
        <f t="shared" ref="AF13:AH13" si="16">SUM(AF14:AF19)</f>
        <v>1580.1</v>
      </c>
      <c r="AG13" s="308">
        <f t="shared" si="16"/>
        <v>10116.56</v>
      </c>
      <c r="AH13" s="308">
        <f t="shared" si="16"/>
        <v>78</v>
      </c>
      <c r="AI13" s="308">
        <f t="shared" si="6"/>
        <v>96.8176</v>
      </c>
      <c r="AJ13" s="308">
        <f t="shared" ref="AJ13:AM13" si="17">SUM(AJ14:AJ19)</f>
        <v>66.0008</v>
      </c>
      <c r="AK13" s="294">
        <f t="shared" si="7"/>
        <v>58.7869</v>
      </c>
      <c r="AL13" s="308">
        <f t="shared" si="17"/>
        <v>30.7645</v>
      </c>
      <c r="AM13" s="308">
        <f t="shared" si="17"/>
        <v>38.0307</v>
      </c>
      <c r="AN13" s="326"/>
      <c r="AO13" s="326"/>
    </row>
    <row r="14" ht="20.1" customHeight="1" spans="1:55">
      <c r="A14" s="320" t="s">
        <v>2829</v>
      </c>
      <c r="B14" s="321" t="s">
        <v>185</v>
      </c>
      <c r="C14" s="298">
        <f>单位!F19/10000</f>
        <v>67.3879</v>
      </c>
      <c r="D14" s="293"/>
      <c r="E14" s="293"/>
      <c r="F14" s="309">
        <f>单位!I19</f>
        <v>17</v>
      </c>
      <c r="G14" s="308"/>
      <c r="H14" s="308"/>
      <c r="I14" s="308"/>
      <c r="J14" s="309">
        <f>单位!Y19</f>
        <v>11</v>
      </c>
      <c r="K14" s="308"/>
      <c r="L14" s="308"/>
      <c r="M14" s="308"/>
      <c r="N14" s="309">
        <f>SUMIF(开!$AU$8:$AU$213,B14,开!$BQ$8:$BQ$213)+SUMIF('续 '!$AM$8:$AM$198,B14,'续 '!$BO$8:$BO$198)+SUMIF(竣!$AM$8:$AM$130,B14,竣!$BO$8:$BO$130)</f>
        <v>42</v>
      </c>
      <c r="O14" s="309">
        <f>SUMIF(开!$AU$8:$AU$213,B14,开!$Z$8:$Z$213)+SUMIF('续 '!AM$8:AM$198,B14,'续 '!$R$8:$R$198)+SUMIF(竣!AM$8:AM$130,B14,竣!$R$8:$R$130)</f>
        <v>18480.577</v>
      </c>
      <c r="P14" s="299">
        <f t="shared" si="1"/>
        <v>7838.95</v>
      </c>
      <c r="Q14" s="309">
        <f>SUMIF(开!$AU$8:$AU$213,B14,开!$AA$8:$AA$213)+SUMIF('续 '!AM$8:AM$198,B14,'续 '!$S$8:$S$198)+SUMIF(竣!AM$8:AM$130,B14,竣!$S$8:$S$130)</f>
        <v>7955.75</v>
      </c>
      <c r="R14" s="309">
        <f>SUMIF(开!$AU$8:$AU$213,B14,开!$AB$8:$AB$213)+SUMIF('续 '!AM$8:AM$198,B14,'续 '!$T$8:$T$198)+SUMIF(竣!AM$8:AM$130,B14,竣!$T$8:$T$130)</f>
        <v>10641.627</v>
      </c>
      <c r="S14" s="309">
        <f>SUMIF(开!$AU$8:$AU$213,B14,开!$BS$8:$BS$213)+SUMIF('续 '!AM$8:AM$198,B14,'续 '!$BQ$8:$BQ$198)+SUMIF(竣!AM$8:AM$130,B14,竣!$BQ$8:$BQ$130)</f>
        <v>12</v>
      </c>
      <c r="T14" s="309">
        <f>SUMIF(开!$AU$8:$AU$213,B14,开!$AC$8:$AC$213)+SUMIF('续 '!AM$8:AM$198,B14,'续 '!$U$8:$U$198)+SUMIF(竣!AM$8:AM$130,B14,竣!$U$8:$U$130)</f>
        <v>9912.28</v>
      </c>
      <c r="U14" s="299">
        <f t="shared" si="3"/>
        <v>3892.28</v>
      </c>
      <c r="V14" s="309">
        <f>SUMIF(开!$AU$8:$AU$213,B14,开!$AD$8:$AD$213)+SUMIF('续 '!AM$8:AM$198,B14,'续 '!$V$8:$V$198)+SUMIF(竣!AM$8:AM$130,B14,竣!$V$8:$V$130)</f>
        <v>3892.28</v>
      </c>
      <c r="W14" s="309">
        <f>SUMIF(开!$AU$8:$AU$213,B14,开!$AE$8:$AE$213)+SUMIF('续 '!AM$8:AM$198,B14,'续 '!$W$8:$W$198)+SUMIF(竣!AM$8:AM$130,B14,竣!$W$8:$W$130)</f>
        <v>6020</v>
      </c>
      <c r="X14" s="309">
        <f>SUMIF(开!$AU$8:$AU$213,B14,开!$BR$8:$BR$213)+SUMIF('续 '!AM$8:AM$198,B14,'续 '!$BP$8:$BP$198)+SUMIF(竣!AM$8:AM$130,B14,竣!$BP$8:$BP$130)</f>
        <v>2</v>
      </c>
      <c r="Y14" s="309">
        <f>SUMIF(开!$AU$8:$AU$213,B14,开!$AF$8:$AF$213)+SUMIF('续 '!AM$8:AM$198,B14,'续 '!$X$8:$X$198)+SUMIF(竣!AM$8:AM$130,B14,竣!$X$8:$X$130)</f>
        <v>286</v>
      </c>
      <c r="Z14" s="299">
        <f t="shared" si="4"/>
        <v>0</v>
      </c>
      <c r="AA14" s="309">
        <f>SUMIF(开!$AU$8:$AU$213,B14,开!$AG$8:$AG$213)+SUMIF('续 '!AM$8:AM$198,B14,'续 '!$Y$8:$Y$198)+SUMIF(竣!AM$8:AM$130,B14,竣!$Y$8:$Y$130)</f>
        <v>0</v>
      </c>
      <c r="AB14" s="309">
        <f>SUMIF(开!$AU$8:$AU$213,B14,开!$AH$8:$AH$213)+SUMIF('续 '!AM$8:AM$198,B14,'续 '!$Z$8:$Z$198)+SUMIF(竣!AM$8:AM$130,B14,竣!$Z$8:$Z$130)</f>
        <v>286</v>
      </c>
      <c r="AC14" s="309">
        <f>SUMIF(开!$AU$8:$AU$213,B14,开!$BT$8:$BT$213)+SUMIF('续 '!AM$8:AM$198,B14,'续 '!$BR$8:$BR$198)+SUMIF(竣!AM$8:AM$130,B14,竣!$BR$8:$BR$130)</f>
        <v>18</v>
      </c>
      <c r="AD14" s="309">
        <f>SUMIF(开!$AU$8:$AU$213,B14,开!$AI$8:$AI$213)+SUMIF('续 '!AM$8:AM$198,B14,'续 '!$AA$8:$AA$198)+SUMIF(竣!AM$8:AM$130,B14,竣!$AA$8:$AA$130)</f>
        <v>9807.1</v>
      </c>
      <c r="AE14" s="299">
        <f t="shared" si="5"/>
        <v>940.1</v>
      </c>
      <c r="AF14" s="309">
        <f>SUMIF(开!$AU$8:$AU$213,B14,开!$AJ$8:$AJ$213)+SUMIF('续 '!AM$8:AM$198,B14,'续 '!$AB$8:$AB$198)+SUMIF(竣!AM$8:AM$130,B14,竣!$AB$8:$AB$130)</f>
        <v>940.1</v>
      </c>
      <c r="AG14" s="309">
        <f>SUMIF(开!$AU$8:$AU$213,B14,开!$AK$8:$AK$213)+SUMIF('续 '!AM$8:AM$198,B14,'续 '!$AC$8:$AC$198)+SUMIF(竣!AM$8:AM$130,B14,竣!$AC$8:$AC$130)</f>
        <v>8867</v>
      </c>
      <c r="AH14" s="309">
        <f>SUMIF(开!$AU$8:$AU$213,B14,开!$BU$8:$BU$213)+SUMIF('续 '!AM$8:AM$198,B14,'续 '!$BS$8:$BS$198)+SUMIF(竣!AM$8:AM$130,B14,竣!$BS$8:$BS$130)</f>
        <v>39</v>
      </c>
      <c r="AI14" s="309">
        <f t="shared" si="6"/>
        <v>67.3879</v>
      </c>
      <c r="AJ14" s="309">
        <f>(SUMIF(开!$AU$8:$AU$213,B14,开!$AL$8:$AL$213)+SUMIF('续 '!AM$8:AM$198,B14,'续 '!$AD$8:$AD$198)+SUMIF(竣!AM$8:AM$130,B14,竣!$AD$8:$AD$130))/10000</f>
        <v>47.1108</v>
      </c>
      <c r="AK14" s="299">
        <f t="shared" si="7"/>
        <v>37.7971</v>
      </c>
      <c r="AL14" s="309">
        <f>(SUMIF(开!$AU$8:$AU$213,B14,开!$AO$8:$AO$213)+SUMIF('续 '!AM$8:AM$198,B14,'续 '!$AF$8:$AF$198)+SUMIF(竣!AM$8:AM$130,B14,竣!$AG$8:$AG$130))/10000</f>
        <v>17.52</v>
      </c>
      <c r="AM14" s="309">
        <f>(SUMIF(开!$AU$8:$AU$213,B14,开!$AP$8:$AP$213)+SUMIF('续 '!AM$8:AM$198,B14,'续 '!$AH$8:$AH$198)+SUMIF(竣!AM$8:AM$130,B14,竣!$AH$8:$AH$130))/10000</f>
        <v>29.5908</v>
      </c>
      <c r="AN14" s="308"/>
      <c r="AO14" s="308"/>
      <c r="AR14" s="330" t="s">
        <v>17</v>
      </c>
      <c r="AS14" s="330"/>
      <c r="AT14" s="330"/>
      <c r="AU14" s="330" t="s">
        <v>18</v>
      </c>
      <c r="AV14" s="330"/>
      <c r="AW14" s="330"/>
      <c r="AX14" s="330" t="s">
        <v>19</v>
      </c>
      <c r="AY14" s="330"/>
      <c r="AZ14" s="330"/>
      <c r="BA14" s="330" t="s">
        <v>20</v>
      </c>
      <c r="BB14" s="330"/>
      <c r="BC14" s="330"/>
    </row>
    <row r="15" ht="20.1" customHeight="1" spans="1:55">
      <c r="A15" s="320" t="s">
        <v>2830</v>
      </c>
      <c r="B15" s="321" t="s">
        <v>166</v>
      </c>
      <c r="C15" s="298">
        <f>单位!F20/10000</f>
        <v>6.0127</v>
      </c>
      <c r="D15" s="298"/>
      <c r="E15" s="298"/>
      <c r="F15" s="309">
        <f>单位!I20</f>
        <v>8</v>
      </c>
      <c r="G15" s="309"/>
      <c r="H15" s="309"/>
      <c r="I15" s="309"/>
      <c r="J15" s="309">
        <f>单位!Y20</f>
        <v>3</v>
      </c>
      <c r="K15" s="309"/>
      <c r="L15" s="309"/>
      <c r="M15" s="309"/>
      <c r="N15" s="309">
        <f>SUMIF(开!$AU$8:$AU$213,B15,开!$BQ$8:$BQ$213)+SUMIF('续 '!$AM$8:$AM$198,B15,'续 '!$BO$8:$BO$198)+SUMIF(竣!$AM$8:$AM$130,B15,竣!$BO$8:$BO$130)</f>
        <v>2</v>
      </c>
      <c r="O15" s="309">
        <f>SUMIF(开!$AU$8:$AU$213,B15,开!$Z$8:$Z$213)+SUMIF('续 '!AM$8:AM$198,B15,'续 '!$R$8:$R$198)+SUMIF(竣!AM$8:AM$130,B15,竣!$R$8:$R$130)</f>
        <v>153</v>
      </c>
      <c r="P15" s="299">
        <f t="shared" si="1"/>
        <v>153</v>
      </c>
      <c r="Q15" s="309">
        <f>SUMIF(开!$AU$8:$AU$213,B15,开!$AA$8:$AA$213)+SUMIF('续 '!AM$8:AM$198,B15,'续 '!$S$8:$S$198)+SUMIF(竣!AM$8:AM$130,B15,竣!$S$8:$S$130)</f>
        <v>153</v>
      </c>
      <c r="R15" s="309">
        <f>SUMIF(开!$AU$8:$AU$213,B15,开!$AB$8:$AB$213)+SUMIF('续 '!AM$8:AM$198,B15,'续 '!$T$8:$T$198)+SUMIF(竣!AM$8:AM$130,B15,竣!$T$8:$T$130)</f>
        <v>0</v>
      </c>
      <c r="S15" s="309">
        <f>SUMIF(开!$AU$8:$AU$213,B15,开!$BS$8:$BS$213)+SUMIF('续 '!AM$8:AM$198,B15,'续 '!$BQ$8:$BQ$198)+SUMIF(竣!AM$8:AM$130,B15,竣!$BQ$8:$BQ$130)</f>
        <v>0</v>
      </c>
      <c r="T15" s="309">
        <f>SUMIF(开!$AU$8:$AU$213,B15,开!$AC$8:$AC$213)+SUMIF('续 '!AM$8:AM$198,B15,'续 '!$U$8:$U$198)+SUMIF(竣!AM$8:AM$130,B15,竣!$U$8:$U$130)</f>
        <v>0</v>
      </c>
      <c r="U15" s="299">
        <f t="shared" si="3"/>
        <v>0</v>
      </c>
      <c r="V15" s="309">
        <f>SUMIF(开!$AU$8:$AU$213,B15,开!$AD$8:$AD$213)+SUMIF('续 '!AM$8:AM$198,B15,'续 '!$V$8:$V$198)+SUMIF(竣!AM$8:AM$130,B15,竣!$V$8:$V$130)</f>
        <v>0</v>
      </c>
      <c r="W15" s="309">
        <f>SUMIF(开!$AU$8:$AU$213,B15,开!$AE$8:$AE$213)+SUMIF('续 '!AM$8:AM$198,B15,'续 '!$W$8:$W$198)+SUMIF(竣!AM$8:AM$130,B15,竣!$W$8:$W$130)</f>
        <v>0</v>
      </c>
      <c r="X15" s="309">
        <f>SUMIF(开!$AU$8:$AU$213,B15,开!$BR$8:$BR$213)+SUMIF('续 '!AM$8:AM$198,B15,'续 '!$BP$8:$BP$198)+SUMIF(竣!AM$8:AM$130,B15,竣!$BP$8:$BP$130)</f>
        <v>0</v>
      </c>
      <c r="Y15" s="309">
        <f>SUMIF(开!$AU$8:$AU$213,B15,开!$AF$8:$AF$213)+SUMIF('续 '!AM$8:AM$198,B15,'续 '!$X$8:$X$198)+SUMIF(竣!AM$8:AM$130,B15,竣!$X$8:$X$130)</f>
        <v>0</v>
      </c>
      <c r="Z15" s="299">
        <f t="shared" si="4"/>
        <v>0</v>
      </c>
      <c r="AA15" s="309">
        <f>SUMIF(开!$AU$8:$AU$213,B15,开!$AG$8:$AG$213)+SUMIF('续 '!AM$8:AM$198,B15,'续 '!$Y$8:$Y$198)+SUMIF(竣!AM$8:AM$130,B15,竣!$Y$8:$Y$130)</f>
        <v>0</v>
      </c>
      <c r="AB15" s="309">
        <f>SUMIF(开!$AU$8:$AU$213,B15,开!$AH$8:$AH$213)+SUMIF('续 '!AM$8:AM$198,B15,'续 '!$Z$8:$Z$198)+SUMIF(竣!AM$8:AM$130,B15,竣!$Z$8:$Z$130)</f>
        <v>0</v>
      </c>
      <c r="AC15" s="309">
        <f>SUMIF(开!$AU$8:$AU$213,B15,开!$BT$8:$BT$213)+SUMIF('续 '!AM$8:AM$198,B15,'续 '!$BR$8:$BR$198)+SUMIF(竣!AM$8:AM$130,B15,竣!$BR$8:$BR$130)</f>
        <v>0</v>
      </c>
      <c r="AD15" s="309">
        <f>SUMIF(开!$AU$8:$AU$213,B15,开!$AI$8:$AI$213)+SUMIF('续 '!AM$8:AM$198,B15,'续 '!$AA$8:$AA$198)+SUMIF(竣!AM$8:AM$130,B15,竣!$AA$8:$AA$130)</f>
        <v>0</v>
      </c>
      <c r="AE15" s="299">
        <f t="shared" si="5"/>
        <v>0</v>
      </c>
      <c r="AF15" s="309">
        <f>SUMIF(开!$AU$8:$AU$213,B15,开!$AJ$8:$AJ$213)+SUMIF('续 '!AM$8:AM$198,B15,'续 '!$AB$8:$AB$198)+SUMIF(竣!AM$8:AM$130,B15,竣!$AB$8:$AB$130)</f>
        <v>0</v>
      </c>
      <c r="AG15" s="309">
        <f>SUMIF(开!$AU$8:$AU$213,B15,开!$AK$8:$AK$213)+SUMIF('续 '!AM$8:AM$198,B15,'续 '!$AC$8:$AC$198)+SUMIF(竣!AM$8:AM$130,B15,竣!$AC$8:$AC$130)</f>
        <v>0</v>
      </c>
      <c r="AH15" s="309">
        <f>SUMIF(开!$AU$8:$AU$213,B15,开!$BU$8:$BU$213)+SUMIF('续 '!AM$8:AM$198,B15,'续 '!$BS$8:$BS$198)+SUMIF(竣!AM$8:AM$130,B15,竣!$BS$8:$BS$130)</f>
        <v>0</v>
      </c>
      <c r="AI15" s="309">
        <f t="shared" si="6"/>
        <v>6.0127</v>
      </c>
      <c r="AJ15" s="309">
        <f>(SUMIF(开!$AU$8:$AU$213,B15,开!$AL$8:$AL$213)+SUMIF('续 '!AM$8:AM$198,B15,'续 '!$AD$8:$AD$198)+SUMIF(竣!AM$8:AM$130,B15,竣!$AD$8:$AD$130))/10000</f>
        <v>0</v>
      </c>
      <c r="AK15" s="299">
        <f t="shared" si="7"/>
        <v>4.7083</v>
      </c>
      <c r="AL15" s="309">
        <f>(SUMIF(开!$AU$8:$AU$213,B15,开!$AO$8:$AO$213)+SUMIF('续 '!AM$8:AM$198,B15,'续 '!$AF$8:$AF$198)+SUMIF(竣!AM$8:AM$130,B15,竣!$AG$8:$AG$130))/10000</f>
        <v>2.6</v>
      </c>
      <c r="AM15" s="309">
        <f>(SUMIF(开!$AU$8:$AU$213,B15,开!$AP$8:$AP$213)+SUMIF('续 '!AM$8:AM$198,B15,'续 '!$AH$8:$AH$198)+SUMIF(竣!AM$8:AM$130,B15,竣!$AH$8:$AH$130))/10000</f>
        <v>1.3044</v>
      </c>
      <c r="AN15" s="326"/>
      <c r="AO15" s="326"/>
      <c r="AR15" s="331" t="s">
        <v>59</v>
      </c>
      <c r="AS15" s="331" t="s">
        <v>60</v>
      </c>
      <c r="AT15" s="331" t="s">
        <v>61</v>
      </c>
      <c r="AU15" s="331" t="s">
        <v>62</v>
      </c>
      <c r="AV15" s="331" t="s">
        <v>63</v>
      </c>
      <c r="AW15" s="331" t="s">
        <v>61</v>
      </c>
      <c r="AX15" s="331" t="s">
        <v>64</v>
      </c>
      <c r="AY15" s="331" t="s">
        <v>65</v>
      </c>
      <c r="AZ15" s="331" t="s">
        <v>61</v>
      </c>
      <c r="BA15" s="331" t="s">
        <v>66</v>
      </c>
      <c r="BB15" s="331" t="s">
        <v>67</v>
      </c>
      <c r="BC15" s="331" t="s">
        <v>68</v>
      </c>
    </row>
    <row r="16" ht="20.1" customHeight="1" spans="1:55">
      <c r="A16" s="320" t="s">
        <v>241</v>
      </c>
      <c r="B16" s="321" t="s">
        <v>240</v>
      </c>
      <c r="C16" s="298">
        <f>单位!F22/10000</f>
        <v>13.68</v>
      </c>
      <c r="D16" s="298"/>
      <c r="E16" s="298"/>
      <c r="F16" s="309">
        <f>单位!I22</f>
        <v>4</v>
      </c>
      <c r="G16" s="309"/>
      <c r="H16" s="309"/>
      <c r="I16" s="309"/>
      <c r="J16" s="309">
        <f>单位!Y22</f>
        <v>8</v>
      </c>
      <c r="K16" s="309"/>
      <c r="L16" s="309"/>
      <c r="M16" s="309"/>
      <c r="N16" s="309">
        <f>SUMIF(开!$AU$8:$AU$213,B16,开!$BQ$8:$BQ$213)+SUMIF('续 '!$AM$8:$AM$198,B16,'续 '!$BO$8:$BO$198)+SUMIF(竣!$AM$8:$AM$130,B16,竣!$BO$8:$BO$130)</f>
        <v>5</v>
      </c>
      <c r="O16" s="309">
        <f>SUMIF(开!$AU$8:$AU$213,B16,开!$Z$8:$Z$213)+SUMIF('续 '!AM$8:AM$198,B16,'续 '!$R$8:$R$198)+SUMIF(竣!AM$8:AM$130,B16,竣!$R$8:$R$130)</f>
        <v>751</v>
      </c>
      <c r="P16" s="299">
        <f t="shared" si="1"/>
        <v>540.21</v>
      </c>
      <c r="Q16" s="309">
        <f>SUMIF(开!$AU$8:$AU$213,B16,开!$AA$8:$AA$213)+SUMIF('续 '!AM$8:AM$198,B16,'续 '!$S$8:$S$198)+SUMIF(竣!AM$8:AM$130,B16,竣!$S$8:$S$130)</f>
        <v>609</v>
      </c>
      <c r="R16" s="309">
        <f>SUMIF(开!$AU$8:$AU$213,B16,开!$AB$8:$AB$213)+SUMIF('续 '!AM$8:AM$198,B16,'续 '!$T$8:$T$198)+SUMIF(竣!AM$8:AM$130,B16,竣!$T$8:$T$130)</f>
        <v>210.79</v>
      </c>
      <c r="S16" s="309">
        <f>SUMIF(开!$AU$8:$AU$213,B16,开!$BS$8:$BS$213)+SUMIF('续 '!AM$8:AM$198,B16,'续 '!$BQ$8:$BQ$198)+SUMIF(竣!AM$8:AM$130,B16,竣!$BQ$8:$BQ$130)</f>
        <v>4</v>
      </c>
      <c r="T16" s="309">
        <f>SUMIF(开!$AU$8:$AU$213,B16,开!$AC$8:$AC$213)+SUMIF('续 '!AM$8:AM$198,B16,'续 '!$U$8:$U$198)+SUMIF(竣!AM$8:AM$130,B16,竣!$U$8:$U$130)</f>
        <v>42.366</v>
      </c>
      <c r="U16" s="299">
        <f t="shared" si="3"/>
        <v>42.366</v>
      </c>
      <c r="V16" s="309">
        <f>SUMIF(开!$AU$8:$AU$213,B16,开!$AD$8:$AD$213)+SUMIF('续 '!AM$8:AM$198,B16,'续 '!$V$8:$V$198)+SUMIF(竣!AM$8:AM$130,B16,竣!$V$8:$V$130)</f>
        <v>42.366</v>
      </c>
      <c r="W16" s="309">
        <f>SUMIF(开!$AU$8:$AU$213,B16,开!$AE$8:$AE$213)+SUMIF('续 '!AM$8:AM$198,B16,'续 '!$W$8:$W$198)+SUMIF(竣!AM$8:AM$130,B16,竣!$W$8:$W$130)</f>
        <v>0</v>
      </c>
      <c r="X16" s="309">
        <f>SUMIF(开!$AU$8:$AU$213,B16,开!$BR$8:$BR$213)+SUMIF('续 '!AM$8:AM$198,B16,'续 '!$BP$8:$BP$198)+SUMIF(竣!AM$8:AM$130,B16,竣!$BP$8:$BP$130)</f>
        <v>0</v>
      </c>
      <c r="Y16" s="309">
        <f>SUMIF(开!$AU$8:$AU$213,B16,开!$AF$8:$AF$213)+SUMIF('续 '!AM$8:AM$198,B16,'续 '!$X$8:$X$198)+SUMIF(竣!AM$8:AM$130,B16,竣!$X$8:$X$130)</f>
        <v>0</v>
      </c>
      <c r="Z16" s="299">
        <f t="shared" si="4"/>
        <v>0</v>
      </c>
      <c r="AA16" s="309">
        <f>SUMIF(开!$AU$8:$AU$213,B16,开!$AG$8:$AG$213)+SUMIF('续 '!AM$8:AM$198,B16,'续 '!$Y$8:$Y$198)+SUMIF(竣!AM$8:AM$130,B16,竣!$Y$8:$Y$130)</f>
        <v>0</v>
      </c>
      <c r="AB16" s="309">
        <f>SUMIF(开!$AU$8:$AU$213,B16,开!$AH$8:$AH$213)+SUMIF('续 '!AM$8:AM$198,B16,'续 '!$Z$8:$Z$198)+SUMIF(竣!AM$8:AM$130,B16,竣!$Z$8:$Z$130)</f>
        <v>0</v>
      </c>
      <c r="AC16" s="309">
        <f>SUMIF(开!$AU$8:$AU$213,B16,开!$BT$8:$BT$213)+SUMIF('续 '!AM$8:AM$198,B16,'续 '!$BR$8:$BR$198)+SUMIF(竣!AM$8:AM$130,B16,竣!$BR$8:$BR$130)</f>
        <v>4</v>
      </c>
      <c r="AD16" s="309">
        <f>SUMIF(开!$AU$8:$AU$213,B16,开!$AI$8:$AI$213)+SUMIF('续 '!AM$8:AM$198,B16,'续 '!$AA$8:$AA$198)+SUMIF(竣!AM$8:AM$130,B16,竣!$AA$8:$AA$130)</f>
        <v>800</v>
      </c>
      <c r="AE16" s="299">
        <f t="shared" si="5"/>
        <v>640</v>
      </c>
      <c r="AF16" s="309">
        <f>SUMIF(开!$AU$8:$AU$213,B16,开!$AJ$8:$AJ$213)+SUMIF('续 '!AM$8:AM$198,B16,'续 '!$AB$8:$AB$198)+SUMIF(竣!AM$8:AM$130,B16,竣!$AB$8:$AB$130)</f>
        <v>640</v>
      </c>
      <c r="AG16" s="309">
        <f>SUMIF(开!$AU$8:$AU$213,B16,开!$AK$8:$AK$213)+SUMIF('续 '!AM$8:AM$198,B16,'续 '!$AC$8:$AC$198)+SUMIF(竣!AM$8:AM$130,B16,竣!$AC$8:$AC$130)</f>
        <v>160</v>
      </c>
      <c r="AH16" s="309">
        <f>SUMIF(开!$AU$8:$AU$213,B16,开!$BU$8:$BU$213)+SUMIF('续 '!AM$8:AM$198,B16,'续 '!$BS$8:$BS$198)+SUMIF(竣!AM$8:AM$130,B16,竣!$BS$8:$BS$130)</f>
        <v>17</v>
      </c>
      <c r="AI16" s="309">
        <f t="shared" si="6"/>
        <v>13.68</v>
      </c>
      <c r="AJ16" s="309">
        <f>(SUMIF(开!$AU$8:$AU$213,B16,开!$AL$8:$AL$213)+SUMIF('续 '!AM$8:AM$198,B16,'续 '!$AD$8:$AD$198)+SUMIF(竣!AM$8:AM$130,B16,竣!$AD$8:$AD$130))/10000</f>
        <v>12.77</v>
      </c>
      <c r="AK16" s="299">
        <f t="shared" si="7"/>
        <v>10.388</v>
      </c>
      <c r="AL16" s="309">
        <f>(SUMIF(开!$AU$8:$AU$213,B16,开!$AO$8:$AO$213)+SUMIF('续 '!AM$8:AM$198,B16,'续 '!$AF$8:$AF$198)+SUMIF(竣!AM$8:AM$130,B16,竣!$AG$8:$AG$130))/10000</f>
        <v>9.378</v>
      </c>
      <c r="AM16" s="309">
        <f>(SUMIF(开!$AU$8:$AU$213,B16,开!$AP$8:$AP$213)+SUMIF('续 '!AM$8:AM$198,B16,'续 '!$AH$8:$AH$198)+SUMIF(竣!AM$8:AM$130,B16,竣!$AH$8:$AH$130))/10000</f>
        <v>3.292</v>
      </c>
      <c r="AN16" s="326"/>
      <c r="AO16" s="326"/>
      <c r="AQ16" s="275" t="s">
        <v>93</v>
      </c>
      <c r="AR16" s="329">
        <v>23187.9985</v>
      </c>
      <c r="AS16" s="329">
        <v>7149.0043</v>
      </c>
      <c r="AT16" s="329">
        <v>9842.7442</v>
      </c>
      <c r="AU16" s="329">
        <v>1542.1215</v>
      </c>
      <c r="AV16" s="329">
        <v>1208.5215</v>
      </c>
      <c r="AW16" s="329">
        <v>333.6</v>
      </c>
      <c r="AX16" s="329">
        <v>0</v>
      </c>
      <c r="AY16" s="329">
        <v>0</v>
      </c>
      <c r="AZ16" s="329">
        <v>0</v>
      </c>
      <c r="BA16" s="329">
        <v>3181</v>
      </c>
      <c r="BB16" s="329">
        <v>856</v>
      </c>
      <c r="BC16" s="329">
        <v>2325</v>
      </c>
    </row>
    <row r="17" ht="20.1" customHeight="1" spans="1:55">
      <c r="A17" s="320" t="s">
        <v>499</v>
      </c>
      <c r="B17" s="321" t="s">
        <v>498</v>
      </c>
      <c r="C17" s="298">
        <f>单位!F24/10000</f>
        <v>6.117</v>
      </c>
      <c r="D17" s="298"/>
      <c r="E17" s="298"/>
      <c r="F17" s="309">
        <f>单位!I24</f>
        <v>5</v>
      </c>
      <c r="G17" s="309"/>
      <c r="H17" s="309"/>
      <c r="I17" s="309"/>
      <c r="J17" s="309">
        <f>单位!Y24</f>
        <v>3</v>
      </c>
      <c r="K17" s="309"/>
      <c r="L17" s="309"/>
      <c r="M17" s="309"/>
      <c r="N17" s="309">
        <f>SUMIF(开!$AU$8:$AU$213,B17,开!$BQ$8:$BQ$213)+SUMIF('续 '!$AM$8:$AM$198,B17,'续 '!$BO$8:$BO$198)+SUMIF(竣!$AM$8:$AM$130,B17,竣!$BO$8:$BO$130)</f>
        <v>17</v>
      </c>
      <c r="O17" s="309">
        <f>SUMIF(开!$AU$8:$AU$213,B17,开!$Z$8:$Z$213)+SUMIF('续 '!AM$8:AM$198,B17,'续 '!$R$8:$R$198)+SUMIF(竣!AM$8:AM$130,B17,竣!$R$8:$R$130)</f>
        <v>2150.783</v>
      </c>
      <c r="P17" s="299">
        <f t="shared" si="1"/>
        <v>842.0155</v>
      </c>
      <c r="Q17" s="309">
        <f>SUMIF(开!$AU$8:$AU$213,B17,开!$AA$8:$AA$213)+SUMIF('续 '!AM$8:AM$198,B17,'续 '!$S$8:$S$198)+SUMIF(竣!AM$8:AM$130,B17,竣!$S$8:$S$130)</f>
        <v>883.4455</v>
      </c>
      <c r="R17" s="309">
        <f>SUMIF(开!$AU$8:$AU$213,B17,开!$AB$8:$AB$213)+SUMIF('续 '!AM$8:AM$198,B17,'续 '!$T$8:$T$198)+SUMIF(竣!AM$8:AM$130,B17,竣!$T$8:$T$130)</f>
        <v>1308.7675</v>
      </c>
      <c r="S17" s="309">
        <f>SUMIF(开!$AU$8:$AU$213,B17,开!$BS$8:$BS$213)+SUMIF('续 '!AM$8:AM$198,B17,'续 '!$BQ$8:$BQ$198)+SUMIF(竣!AM$8:AM$130,B17,竣!$BQ$8:$BQ$130)</f>
        <v>10</v>
      </c>
      <c r="T17" s="309">
        <f>SUMIF(开!$AU$8:$AU$213,B17,开!$AC$8:$AC$213)+SUMIF('续 '!AM$8:AM$198,B17,'续 '!$U$8:$U$198)+SUMIF(竣!AM$8:AM$130,B17,竣!$U$8:$U$130)</f>
        <v>305.436</v>
      </c>
      <c r="U17" s="299">
        <f t="shared" si="3"/>
        <v>278.436</v>
      </c>
      <c r="V17" s="309">
        <f>SUMIF(开!$AU$8:$AU$213,B17,开!$AD$8:$AD$213)+SUMIF('续 '!AM$8:AM$198,B17,'续 '!$V$8:$V$198)+SUMIF(竣!AM$8:AM$130,B17,竣!$V$8:$V$130)</f>
        <v>189.651</v>
      </c>
      <c r="W17" s="309">
        <f>SUMIF(开!$AU$8:$AU$213,B17,开!$AE$8:$AE$213)+SUMIF('续 '!AM$8:AM$198,B17,'续 '!$W$8:$W$198)+SUMIF(竣!AM$8:AM$130,B17,竣!$W$8:$W$130)</f>
        <v>27</v>
      </c>
      <c r="X17" s="309">
        <f>SUMIF(开!$AU$8:$AU$213,B17,开!$BR$8:$BR$213)+SUMIF('续 '!AM$8:AM$198,B17,'续 '!$BP$8:$BP$198)+SUMIF(竣!AM$8:AM$130,B17,竣!$BP$8:$BP$130)</f>
        <v>0</v>
      </c>
      <c r="Y17" s="309">
        <f>SUMIF(开!$AU$8:$AU$213,B17,开!$AF$8:$AF$213)+SUMIF('续 '!AM$8:AM$198,B17,'续 '!$X$8:$X$198)+SUMIF(竣!AM$8:AM$130,B17,竣!$X$8:$X$130)</f>
        <v>0</v>
      </c>
      <c r="Z17" s="299">
        <f t="shared" si="4"/>
        <v>0</v>
      </c>
      <c r="AA17" s="309">
        <f>SUMIF(开!$AU$8:$AU$213,B17,开!$AG$8:$AG$213)+SUMIF('续 '!AM$8:AM$198,B17,'续 '!$Y$8:$Y$198)+SUMIF(竣!AM$8:AM$130,B17,竣!$Y$8:$Y$130)</f>
        <v>0</v>
      </c>
      <c r="AB17" s="309">
        <f>SUMIF(开!$AU$8:$AU$213,B17,开!$AH$8:$AH$213)+SUMIF('续 '!AM$8:AM$198,B17,'续 '!$Z$8:$Z$198)+SUMIF(竣!AM$8:AM$130,B17,竣!$Z$8:$Z$130)</f>
        <v>0</v>
      </c>
      <c r="AC17" s="309">
        <f>SUMIF(开!$AU$8:$AU$213,B17,开!$BT$8:$BT$213)+SUMIF('续 '!AM$8:AM$198,B17,'续 '!$BR$8:$BR$198)+SUMIF(竣!AM$8:AM$130,B17,竣!$BR$8:$BR$130)</f>
        <v>13</v>
      </c>
      <c r="AD17" s="309">
        <f>SUMIF(开!$AU$8:$AU$213,B17,开!$AI$8:$AI$213)+SUMIF('续 '!AM$8:AM$198,B17,'续 '!$AA$8:$AA$198)+SUMIF(竣!AM$8:AM$130,B17,竣!$AA$8:$AA$130)</f>
        <v>785</v>
      </c>
      <c r="AE17" s="299">
        <f t="shared" si="5"/>
        <v>0</v>
      </c>
      <c r="AF17" s="309">
        <f>SUMIF(开!$AU$8:$AU$213,B17,开!$AJ$8:$AJ$213)+SUMIF('续 '!AM$8:AM$198,B17,'续 '!$AB$8:$AB$198)+SUMIF(竣!AM$8:AM$130,B17,竣!$AB$8:$AB$130)</f>
        <v>0</v>
      </c>
      <c r="AG17" s="309">
        <f>SUMIF(开!$AU$8:$AU$213,B17,开!$AK$8:$AK$213)+SUMIF('续 '!AM$8:AM$198,B17,'续 '!$AC$8:$AC$198)+SUMIF(竣!AM$8:AM$130,B17,竣!$AC$8:$AC$130)</f>
        <v>785</v>
      </c>
      <c r="AH17" s="309">
        <f>SUMIF(开!$AU$8:$AU$213,B17,开!$BU$8:$BU$213)+SUMIF('续 '!AM$8:AM$198,B17,'续 '!$BS$8:$BS$198)+SUMIF(竣!AM$8:AM$130,B17,竣!$BS$8:$BS$130)</f>
        <v>20</v>
      </c>
      <c r="AI17" s="309">
        <f t="shared" si="6"/>
        <v>6.117</v>
      </c>
      <c r="AJ17" s="309">
        <f>(SUMIF(开!$AU$8:$AU$213,B17,开!$AL$8:$AL$213)+SUMIF('续 '!AM$8:AM$198,B17,'续 '!$AD$8:$AD$198)+SUMIF(竣!AM$8:AM$130,B17,竣!$AD$8:$AD$130))/10000</f>
        <v>4.72</v>
      </c>
      <c r="AK17" s="299">
        <f t="shared" si="7"/>
        <v>3.1335</v>
      </c>
      <c r="AL17" s="309">
        <f>(SUMIF(开!$AU$8:$AU$213,B17,开!$AO$8:$AO$213)+SUMIF('续 '!AM$8:AM$198,B17,'续 '!$AF$8:$AF$198)+SUMIF(竣!AM$8:AM$130,B17,竣!$AG$8:$AG$130))/10000</f>
        <v>1.0365</v>
      </c>
      <c r="AM17" s="309">
        <f>(SUMIF(开!$AU$8:$AU$213,B17,开!$AP$8:$AP$213)+SUMIF('续 '!AM$8:AM$198,B17,'续 '!$AH$8:$AH$198)+SUMIF(竣!AM$8:AM$130,B17,竣!$AH$8:$AH$130))/10000</f>
        <v>2.9835</v>
      </c>
      <c r="AN17" s="326"/>
      <c r="AO17" s="326"/>
      <c r="AQ17" s="275" t="s">
        <v>1980</v>
      </c>
      <c r="AR17" s="329">
        <v>66158.4803998977</v>
      </c>
      <c r="AS17" s="329">
        <v>29539.1822</v>
      </c>
      <c r="AT17" s="329">
        <v>36580.8402</v>
      </c>
      <c r="AU17" s="329">
        <v>20045.7425</v>
      </c>
      <c r="AV17" s="329">
        <v>15650.9645</v>
      </c>
      <c r="AW17" s="329">
        <v>4284.3</v>
      </c>
      <c r="AX17" s="329">
        <v>3128.0545</v>
      </c>
      <c r="AY17" s="329">
        <v>2504.2545</v>
      </c>
      <c r="AZ17" s="329">
        <v>623.8</v>
      </c>
      <c r="BA17" s="329">
        <v>35851.7457</v>
      </c>
      <c r="BB17" s="329">
        <v>22975.9617</v>
      </c>
      <c r="BC17" s="329">
        <v>11790.604</v>
      </c>
    </row>
    <row r="18" ht="20.1" customHeight="1" spans="1:55">
      <c r="A18" s="320" t="s">
        <v>505</v>
      </c>
      <c r="B18" s="321" t="s">
        <v>504</v>
      </c>
      <c r="C18" s="298">
        <f>单位!F25/10000</f>
        <v>2.4</v>
      </c>
      <c r="D18" s="298"/>
      <c r="E18" s="298"/>
      <c r="F18" s="309">
        <f>单位!I25</f>
        <v>2</v>
      </c>
      <c r="G18" s="309"/>
      <c r="H18" s="309"/>
      <c r="I18" s="309"/>
      <c r="J18" s="309">
        <f>单位!Y25</f>
        <v>0</v>
      </c>
      <c r="K18" s="309"/>
      <c r="L18" s="309"/>
      <c r="M18" s="309"/>
      <c r="N18" s="309">
        <f>SUMIF(开!$AU$8:$AU$213,B18,开!$BQ$8:$BQ$213)+SUMIF('续 '!$AM$8:$AM$198,B18,'续 '!$BO$8:$BO$198)+SUMIF(竣!$AM$8:$AM$130,B18,竣!$BO$8:$BO$130)</f>
        <v>3</v>
      </c>
      <c r="O18" s="309">
        <f>SUMIF(开!$AU$8:$AU$213,B18,开!$Z$8:$Z$213)+SUMIF('续 '!AM$8:AM$198,B18,'续 '!$R$8:$R$198)+SUMIF(竣!AM$8:AM$130,B18,竣!$R$8:$R$130)</f>
        <v>424.56</v>
      </c>
      <c r="P18" s="299">
        <f t="shared" si="1"/>
        <v>100</v>
      </c>
      <c r="Q18" s="309">
        <f>SUMIF(开!$AU$8:$AU$213,B18,开!$AA$8:$AA$213)+SUMIF('续 '!AM$8:AM$198,B18,'续 '!$S$8:$S$198)+SUMIF(竣!AM$8:AM$130,B18,竣!$S$8:$S$130)</f>
        <v>100</v>
      </c>
      <c r="R18" s="309">
        <f>SUMIF(开!$AU$8:$AU$213,B18,开!$AB$8:$AB$213)+SUMIF('续 '!AM$8:AM$198,B18,'续 '!$T$8:$T$198)+SUMIF(竣!AM$8:AM$130,B18,竣!$T$8:$T$130)</f>
        <v>324.56</v>
      </c>
      <c r="S18" s="309">
        <f>SUMIF(开!$AU$8:$AU$213,B18,开!$BS$8:$BS$213)+SUMIF('续 '!AM$8:AM$198,B18,'续 '!$BQ$8:$BQ$198)+SUMIF(竣!AM$8:AM$130,B18,竣!$BQ$8:$BQ$130)</f>
        <v>1</v>
      </c>
      <c r="T18" s="309">
        <f>SUMIF(开!$AU$8:$AU$213,B18,开!$AC$8:$AC$213)+SUMIF('续 '!AM$8:AM$198,B18,'续 '!$U$8:$U$198)+SUMIF(竣!AM$8:AM$130,B18,竣!$U$8:$U$130)</f>
        <v>10.3</v>
      </c>
      <c r="U18" s="299">
        <f t="shared" si="3"/>
        <v>0</v>
      </c>
      <c r="V18" s="309">
        <f>SUMIF(开!$AU$8:$AU$213,B18,开!$AD$8:$AD$213)+SUMIF('续 '!AM$8:AM$198,B18,'续 '!$V$8:$V$198)+SUMIF(竣!AM$8:AM$130,B18,竣!$V$8:$V$130)</f>
        <v>0</v>
      </c>
      <c r="W18" s="309">
        <f>SUMIF(开!$AU$8:$AU$213,B18,开!$AE$8:$AE$213)+SUMIF('续 '!AM$8:AM$198,B18,'续 '!$W$8:$W$198)+SUMIF(竣!AM$8:AM$130,B18,竣!$W$8:$W$130)</f>
        <v>10.3</v>
      </c>
      <c r="X18" s="309">
        <f>SUMIF(开!$AU$8:$AU$213,B18,开!$BR$8:$BR$213)+SUMIF('续 '!AM$8:AM$198,B18,'续 '!$BP$8:$BP$198)+SUMIF(竣!AM$8:AM$130,B18,竣!$BP$8:$BP$130)</f>
        <v>0</v>
      </c>
      <c r="Y18" s="309">
        <f>SUMIF(开!$AU$8:$AU$213,B18,开!$AF$8:$AF$213)+SUMIF('续 '!AM$8:AM$198,B18,'续 '!$X$8:$X$198)+SUMIF(竣!AM$8:AM$130,B18,竣!$X$8:$X$130)</f>
        <v>0</v>
      </c>
      <c r="Z18" s="299">
        <f t="shared" si="4"/>
        <v>0</v>
      </c>
      <c r="AA18" s="309">
        <f>SUMIF(开!$AU$8:$AU$213,B18,开!$AG$8:$AG$213)+SUMIF('续 '!AM$8:AM$198,B18,'续 '!$Y$8:$Y$198)+SUMIF(竣!AM$8:AM$130,B18,竣!$Y$8:$Y$130)</f>
        <v>0</v>
      </c>
      <c r="AB18" s="309">
        <f>SUMIF(开!$AU$8:$AU$213,B18,开!$AH$8:$AH$213)+SUMIF('续 '!AM$8:AM$198,B18,'续 '!$Z$8:$Z$198)+SUMIF(竣!AM$8:AM$130,B18,竣!$Z$8:$Z$130)</f>
        <v>0</v>
      </c>
      <c r="AC18" s="309">
        <f>SUMIF(开!$AU$8:$AU$213,B18,开!$BT$8:$BT$213)+SUMIF('续 '!AM$8:AM$198,B18,'续 '!$BR$8:$BR$198)+SUMIF(竣!AM$8:AM$130,B18,竣!$BR$8:$BR$130)</f>
        <v>3</v>
      </c>
      <c r="AD18" s="309">
        <f>SUMIF(开!$AU$8:$AU$213,B18,开!$AI$8:$AI$213)+SUMIF('续 '!AM$8:AM$198,B18,'续 '!$AA$8:$AA$198)+SUMIF(竣!AM$8:AM$130,B18,竣!$AA$8:$AA$130)</f>
        <v>324.56</v>
      </c>
      <c r="AE18" s="299">
        <f t="shared" si="5"/>
        <v>100</v>
      </c>
      <c r="AF18" s="309">
        <f>SUMIF(开!$AU$8:$AU$213,B18,开!$AJ$8:$AJ$213)+SUMIF('续 '!AM$8:AM$198,B18,'续 '!$AB$8:$AB$198)+SUMIF(竣!AM$8:AM$130,B18,竣!$AB$8:$AB$130)</f>
        <v>0</v>
      </c>
      <c r="AG18" s="309">
        <f>SUMIF(开!$AU$8:$AU$213,B18,开!$AK$8:$AK$213)+SUMIF('续 '!AM$8:AM$198,B18,'续 '!$AC$8:$AC$198)+SUMIF(竣!AM$8:AM$130,B18,竣!$AC$8:$AC$130)</f>
        <v>224.56</v>
      </c>
      <c r="AH18" s="309">
        <f>SUMIF(开!$AU$8:$AU$213,B18,开!$BU$8:$BU$213)+SUMIF('续 '!AM$8:AM$198,B18,'续 '!$BS$8:$BS$198)+SUMIF(竣!AM$8:AM$130,B18,竣!$BS$8:$BS$130)</f>
        <v>2</v>
      </c>
      <c r="AI18" s="309">
        <f t="shared" si="6"/>
        <v>2.4</v>
      </c>
      <c r="AJ18" s="309">
        <f>(SUMIF(开!$AU$8:$AU$213,B18,开!$AL$8:$AL$213)+SUMIF('续 '!AM$8:AM$198,B18,'续 '!$AD$8:$AD$198)+SUMIF(竣!AM$8:AM$130,B18,竣!$AD$8:$AD$130))/10000</f>
        <v>1.4</v>
      </c>
      <c r="AK18" s="299">
        <f t="shared" si="7"/>
        <v>1.54</v>
      </c>
      <c r="AL18" s="309">
        <f>(SUMIF(开!$AU$8:$AU$213,B18,开!$AO$8:$AO$213)+SUMIF('续 '!AM$8:AM$198,B18,'续 '!$AF$8:$AF$198)+SUMIF(竣!AM$8:AM$130,B18,竣!$AG$8:$AG$130))/10000</f>
        <v>0.23</v>
      </c>
      <c r="AM18" s="309">
        <f>(SUMIF(开!$AU$8:$AU$213,B18,开!$AP$8:$AP$213)+SUMIF('续 '!AM$8:AM$198,B18,'续 '!$AH$8:$AH$198)+SUMIF(竣!AM$8:AM$130,B18,竣!$AH$8:$AH$130))/10000</f>
        <v>0.86</v>
      </c>
      <c r="AN18" s="326"/>
      <c r="AO18" s="326"/>
      <c r="AQ18" s="275" t="s">
        <v>2823</v>
      </c>
      <c r="AR18" s="329">
        <v>11627.547</v>
      </c>
      <c r="AS18" s="329">
        <v>10200.027</v>
      </c>
      <c r="AT18" s="329">
        <v>1375.5</v>
      </c>
      <c r="AU18" s="329">
        <v>405</v>
      </c>
      <c r="AV18" s="329">
        <v>280</v>
      </c>
      <c r="AW18" s="329">
        <v>76</v>
      </c>
      <c r="AX18" s="329">
        <v>0</v>
      </c>
      <c r="AY18" s="329">
        <v>0</v>
      </c>
      <c r="AZ18" s="329">
        <v>0</v>
      </c>
      <c r="BA18" s="329">
        <v>1373.31</v>
      </c>
      <c r="BB18" s="329">
        <v>702.05</v>
      </c>
      <c r="BC18" s="329">
        <v>671.26</v>
      </c>
    </row>
    <row r="19" ht="20.1" customHeight="1" spans="1:55">
      <c r="A19" s="320" t="s">
        <v>2831</v>
      </c>
      <c r="B19" s="321" t="s">
        <v>490</v>
      </c>
      <c r="C19" s="298">
        <f>单位!F17/10000</f>
        <v>1.22</v>
      </c>
      <c r="D19" s="298"/>
      <c r="E19" s="298"/>
      <c r="F19" s="309">
        <f>单位!I17</f>
        <v>2</v>
      </c>
      <c r="G19" s="309"/>
      <c r="H19" s="309"/>
      <c r="I19" s="309"/>
      <c r="J19" s="309">
        <f>单位!Y17</f>
        <v>0</v>
      </c>
      <c r="K19" s="309"/>
      <c r="L19" s="309"/>
      <c r="M19" s="309"/>
      <c r="N19" s="309">
        <f>SUMIF(开!$AU$8:$AU$213,B19,开!$BQ$8:$BQ$213)+SUMIF('续 '!$AM$8:$AM$198,B19,'续 '!$BO$8:$BO$198)+SUMIF(竣!$AM$8:$AM$130,B19,竣!$BO$8:$BO$130)</f>
        <v>2</v>
      </c>
      <c r="O19" s="309">
        <f>SUMIF(开!$AU$8:$AU$213,B19,开!$Z$8:$Z$213)+SUMIF('续 '!AM$8:AM$198,B19,'续 '!$R$8:$R$198)+SUMIF(竣!AM$8:AM$130,B19,竣!$R$8:$R$130)</f>
        <v>200</v>
      </c>
      <c r="P19" s="299">
        <f t="shared" si="1"/>
        <v>120</v>
      </c>
      <c r="Q19" s="309">
        <f>SUMIF(开!$AU$8:$AU$213,B19,开!$AA$8:$AA$213)+SUMIF('续 '!AM$8:AM$198,B19,'续 '!$S$8:$S$198)+SUMIF(竣!AM$8:AM$130,B19,竣!$S$8:$S$130)</f>
        <v>40</v>
      </c>
      <c r="R19" s="309">
        <f>SUMIF(开!$AU$8:$AU$213,B19,开!$AB$8:$AB$213)+SUMIF('续 '!AM$8:AM$198,B19,'续 '!$T$8:$T$198)+SUMIF(竣!AM$8:AM$130,B19,竣!$T$8:$T$130)</f>
        <v>80</v>
      </c>
      <c r="S19" s="309">
        <f>SUMIF(开!$AU$8:$AU$213,B19,开!$BS$8:$BS$213)+SUMIF('续 '!AM$8:AM$198,B19,'续 '!$BQ$8:$BQ$198)+SUMIF(竣!AM$8:AM$130,B19,竣!$BQ$8:$BQ$130)</f>
        <v>1</v>
      </c>
      <c r="T19" s="309">
        <f>SUMIF(开!$AU$8:$AU$213,B19,开!$AC$8:$AC$213)+SUMIF('续 '!AM$8:AM$198,B19,'续 '!$U$8:$U$198)+SUMIF(竣!AM$8:AM$130,B19,竣!$U$8:$U$130)</f>
        <v>25</v>
      </c>
      <c r="U19" s="299">
        <f t="shared" si="3"/>
        <v>0</v>
      </c>
      <c r="V19" s="309">
        <f>SUMIF(开!$AU$8:$AU$213,B19,开!$AD$8:$AD$213)+SUMIF('续 '!AM$8:AM$198,B19,'续 '!$V$8:$V$198)+SUMIF(竣!AM$8:AM$130,B19,竣!$V$8:$V$130)</f>
        <v>0</v>
      </c>
      <c r="W19" s="309">
        <f>SUMIF(开!$AU$8:$AU$213,B19,开!$AE$8:$AE$213)+SUMIF('续 '!AM$8:AM$198,B19,'续 '!$W$8:$W$198)+SUMIF(竣!AM$8:AM$130,B19,竣!$W$8:$W$130)</f>
        <v>25</v>
      </c>
      <c r="X19" s="309">
        <f>SUMIF(开!$AU$8:$AU$213,B19,开!$BR$8:$BR$213)+SUMIF('续 '!AM$8:AM$198,B19,'续 '!$BP$8:$BP$198)+SUMIF(竣!AM$8:AM$130,B19,竣!$BP$8:$BP$130)</f>
        <v>0</v>
      </c>
      <c r="Y19" s="309">
        <f>SUMIF(开!$AU$8:$AU$213,B19,开!$AF$8:$AF$213)+SUMIF('续 '!AM$8:AM$198,B19,'续 '!$X$8:$X$198)+SUMIF(竣!AM$8:AM$130,B19,竣!$X$8:$X$130)</f>
        <v>0</v>
      </c>
      <c r="Z19" s="299">
        <f t="shared" si="4"/>
        <v>0</v>
      </c>
      <c r="AA19" s="309">
        <f>SUMIF(开!$AU$8:$AU$213,B19,开!$AG$8:$AG$213)+SUMIF('续 '!AM$8:AM$198,B19,'续 '!$Y$8:$Y$198)+SUMIF(竣!AM$8:AM$130,B19,竣!$Y$8:$Y$130)</f>
        <v>0</v>
      </c>
      <c r="AB19" s="309">
        <f>SUMIF(开!$AU$8:$AU$213,B19,开!$AH$8:$AH$213)+SUMIF('续 '!AM$8:AM$198,B19,'续 '!$Z$8:$Z$198)+SUMIF(竣!AM$8:AM$130,B19,竣!$Z$8:$Z$130)</f>
        <v>0</v>
      </c>
      <c r="AC19" s="309">
        <f>SUMIF(开!$AU$8:$AU$213,B19,开!$BT$8:$BT$213)+SUMIF('续 '!AM$8:AM$198,B19,'续 '!$BR$8:$BR$198)+SUMIF(竣!AM$8:AM$130,B19,竣!$BR$8:$BR$130)</f>
        <v>1</v>
      </c>
      <c r="AD19" s="309">
        <f>SUMIF(开!$AU$8:$AU$213,B19,开!$AI$8:$AI$213)+SUMIF('续 '!AM$8:AM$198,B19,'续 '!$AA$8:$AA$198)+SUMIF(竣!AM$8:AM$130,B19,竣!$AA$8:$AA$130)</f>
        <v>80</v>
      </c>
      <c r="AE19" s="299">
        <f t="shared" si="5"/>
        <v>0</v>
      </c>
      <c r="AF19" s="309">
        <f>SUMIF(开!$AU$8:$AU$213,B19,开!$AJ$8:$AJ$213)+SUMIF('续 '!AM$8:AM$198,B19,'续 '!$AB$8:$AB$198)+SUMIF(竣!AM$8:AM$130,B19,竣!$AB$8:$AB$130)</f>
        <v>0</v>
      </c>
      <c r="AG19" s="309">
        <f>SUMIF(开!$AU$8:$AU$213,B19,开!$AK$8:$AK$213)+SUMIF('续 '!AM$8:AM$198,B19,'续 '!$AC$8:$AC$198)+SUMIF(竣!AM$8:AM$130,B19,竣!$AC$8:$AC$130)</f>
        <v>80</v>
      </c>
      <c r="AH19" s="309">
        <f>SUMIF(开!$AU$8:$AU$213,B19,开!$BU$8:$BU$213)+SUMIF('续 '!AM$8:AM$198,B19,'续 '!$BS$8:$BS$198)+SUMIF(竣!AM$8:AM$130,B19,竣!$BS$8:$BS$130)</f>
        <v>0</v>
      </c>
      <c r="AI19" s="309">
        <f t="shared" si="6"/>
        <v>1.22</v>
      </c>
      <c r="AJ19" s="309">
        <f>(SUMIF(开!$AU$8:$AU$213,B19,开!$AL$8:$AL$213)+SUMIF('续 '!AM$8:AM$198,B19,'续 '!$AD$8:$AD$198)+SUMIF(竣!AM$8:AM$130,B19,竣!$AD$8:$AD$130))/10000</f>
        <v>0</v>
      </c>
      <c r="AK19" s="299">
        <f t="shared" si="7"/>
        <v>1.22</v>
      </c>
      <c r="AL19" s="309">
        <f>(SUMIF(开!$AU$8:$AU$213,B19,开!$AO$8:$AO$213)+SUMIF('续 '!AM$8:AM$198,B19,'续 '!$AF$8:$AF$198)+SUMIF(竣!AM$8:AM$130,B19,竣!$AG$8:$AG$130))/10000</f>
        <v>0</v>
      </c>
      <c r="AM19" s="309">
        <f>(SUMIF(开!$AU$8:$AU$213,B19,开!$AP$8:$AP$213)+SUMIF('续 '!AM$8:AM$198,B19,'续 '!$AH$8:$AH$198)+SUMIF(竣!AM$8:AM$130,B19,竣!$AH$8:$AH$130))/10000</f>
        <v>0</v>
      </c>
      <c r="AN19" s="326"/>
      <c r="AO19" s="326"/>
      <c r="AQ19" s="275" t="s">
        <v>2824</v>
      </c>
      <c r="AR19" s="329">
        <f>SUM(AR16:AR18)</f>
        <v>100974.025899898</v>
      </c>
      <c r="AS19" s="329">
        <f t="shared" ref="AS19:BC19" si="18">SUM(AS16:AS18)</f>
        <v>46888.2135</v>
      </c>
      <c r="AT19" s="329">
        <f t="shared" si="18"/>
        <v>47799.0844</v>
      </c>
      <c r="AU19" s="329">
        <f t="shared" si="18"/>
        <v>21992.864</v>
      </c>
      <c r="AV19" s="329">
        <f t="shared" si="18"/>
        <v>17139.486</v>
      </c>
      <c r="AW19" s="329">
        <f t="shared" si="18"/>
        <v>4693.9</v>
      </c>
      <c r="AX19" s="329">
        <f t="shared" si="18"/>
        <v>3128.0545</v>
      </c>
      <c r="AY19" s="329">
        <f t="shared" si="18"/>
        <v>2504.2545</v>
      </c>
      <c r="AZ19" s="329">
        <f t="shared" si="18"/>
        <v>623.8</v>
      </c>
      <c r="BA19" s="329">
        <f t="shared" si="18"/>
        <v>40406.0557</v>
      </c>
      <c r="BB19" s="329">
        <f t="shared" si="18"/>
        <v>24534.0117</v>
      </c>
      <c r="BC19" s="329">
        <f t="shared" si="18"/>
        <v>14786.864</v>
      </c>
    </row>
    <row r="20" ht="20.1" customHeight="1" spans="1:55">
      <c r="A20" s="319" t="s">
        <v>2832</v>
      </c>
      <c r="B20" s="321"/>
      <c r="C20" s="293">
        <f>SUM(C21:C34)</f>
        <v>78.7159</v>
      </c>
      <c r="D20" s="293"/>
      <c r="E20" s="293"/>
      <c r="F20" s="308">
        <f>SUM(F21:F34)</f>
        <v>13</v>
      </c>
      <c r="G20" s="308"/>
      <c r="H20" s="308"/>
      <c r="I20" s="308"/>
      <c r="J20" s="308">
        <f t="shared" ref="J20:O20" si="19">SUM(J21:J34)</f>
        <v>11</v>
      </c>
      <c r="K20" s="308"/>
      <c r="L20" s="308"/>
      <c r="M20" s="308"/>
      <c r="N20" s="308">
        <f t="shared" si="19"/>
        <v>23</v>
      </c>
      <c r="O20" s="308">
        <f t="shared" si="19"/>
        <v>27722.0237</v>
      </c>
      <c r="P20" s="294">
        <f t="shared" si="1"/>
        <v>5919.4237</v>
      </c>
      <c r="Q20" s="308">
        <f t="shared" ref="Q20:T20" si="20">SUM(Q21:Q34)</f>
        <v>5919.3917</v>
      </c>
      <c r="R20" s="308">
        <f t="shared" si="20"/>
        <v>21802.6</v>
      </c>
      <c r="S20" s="308">
        <f t="shared" si="20"/>
        <v>15</v>
      </c>
      <c r="T20" s="308">
        <f t="shared" si="20"/>
        <v>10841.72</v>
      </c>
      <c r="U20" s="294">
        <f t="shared" si="3"/>
        <v>8347.72</v>
      </c>
      <c r="V20" s="308">
        <f t="shared" ref="V20:Y20" si="21">SUM(V21:V34)</f>
        <v>8298.373</v>
      </c>
      <c r="W20" s="308">
        <f t="shared" si="21"/>
        <v>2494</v>
      </c>
      <c r="X20" s="308">
        <f t="shared" si="21"/>
        <v>0</v>
      </c>
      <c r="Y20" s="308">
        <f t="shared" si="21"/>
        <v>0</v>
      </c>
      <c r="Z20" s="294">
        <f t="shared" si="4"/>
        <v>0</v>
      </c>
      <c r="AA20" s="308">
        <f t="shared" ref="AA20:AD20" si="22">SUM(AA21:AA34)</f>
        <v>0</v>
      </c>
      <c r="AB20" s="308">
        <f t="shared" si="22"/>
        <v>0</v>
      </c>
      <c r="AC20" s="308">
        <f t="shared" si="22"/>
        <v>17</v>
      </c>
      <c r="AD20" s="308">
        <f t="shared" si="22"/>
        <v>23444.9057</v>
      </c>
      <c r="AE20" s="294">
        <f t="shared" si="5"/>
        <v>18126.2917</v>
      </c>
      <c r="AF20" s="308">
        <f t="shared" ref="AF20:AH20" si="23">SUM(AF21:AF34)</f>
        <v>18126.8517</v>
      </c>
      <c r="AG20" s="308">
        <f t="shared" si="23"/>
        <v>5318.614</v>
      </c>
      <c r="AH20" s="308">
        <f t="shared" si="23"/>
        <v>26</v>
      </c>
      <c r="AI20" s="308">
        <f t="shared" si="6"/>
        <v>78.7159</v>
      </c>
      <c r="AJ20" s="308">
        <f t="shared" ref="AJ20:AM20" si="24">SUM(AJ21:AJ34)</f>
        <v>23.4062</v>
      </c>
      <c r="AK20" s="294">
        <f t="shared" si="7"/>
        <v>65.1754</v>
      </c>
      <c r="AL20" s="308">
        <f t="shared" si="24"/>
        <v>9.4257</v>
      </c>
      <c r="AM20" s="308">
        <f t="shared" si="24"/>
        <v>13.5405</v>
      </c>
      <c r="AN20" s="326"/>
      <c r="AO20" s="326"/>
      <c r="AQ20" s="275" t="s">
        <v>2825</v>
      </c>
      <c r="AR20" s="329">
        <f>AR19/10000</f>
        <v>10.0974025899898</v>
      </c>
      <c r="AS20" s="329">
        <f t="shared" ref="AS20:BC20" si="25">AS19/10000</f>
        <v>4.68882135</v>
      </c>
      <c r="AT20" s="329">
        <f t="shared" si="25"/>
        <v>4.77990844</v>
      </c>
      <c r="AU20" s="329">
        <f t="shared" si="25"/>
        <v>2.1992864</v>
      </c>
      <c r="AV20" s="329">
        <f t="shared" si="25"/>
        <v>1.7139486</v>
      </c>
      <c r="AW20" s="329">
        <f t="shared" si="25"/>
        <v>0.46939</v>
      </c>
      <c r="AX20" s="329">
        <f t="shared" si="25"/>
        <v>0.31280545</v>
      </c>
      <c r="AY20" s="329">
        <f t="shared" si="25"/>
        <v>0.25042545</v>
      </c>
      <c r="AZ20" s="329">
        <f t="shared" si="25"/>
        <v>0.06238</v>
      </c>
      <c r="BA20" s="329">
        <f t="shared" si="25"/>
        <v>4.04060557</v>
      </c>
      <c r="BB20" s="329">
        <f t="shared" si="25"/>
        <v>2.45340117</v>
      </c>
      <c r="BC20" s="329">
        <f t="shared" si="25"/>
        <v>1.4786864</v>
      </c>
    </row>
    <row r="21" ht="20.1" customHeight="1" spans="1:55">
      <c r="A21" s="320" t="s">
        <v>456</v>
      </c>
      <c r="B21" s="321" t="s">
        <v>456</v>
      </c>
      <c r="C21" s="298">
        <f>单位!F40/10000</f>
        <v>1</v>
      </c>
      <c r="D21" s="298"/>
      <c r="E21" s="298"/>
      <c r="F21" s="299">
        <f>单位!I40</f>
        <v>1</v>
      </c>
      <c r="G21" s="309"/>
      <c r="H21" s="309"/>
      <c r="I21" s="309"/>
      <c r="J21" s="299">
        <f>单位!Y40</f>
        <v>0</v>
      </c>
      <c r="K21" s="309"/>
      <c r="L21" s="309"/>
      <c r="M21" s="309"/>
      <c r="N21" s="309">
        <f>SUMIF(开!$AU$8:$AU$213,B21,开!$BQ$8:$BQ$213)+SUMIF('续 '!$AM$8:$AM$198,B21,'续 '!$BO$8:$BO$198)+SUMIF(竣!$AM$8:$AM$130,B21,竣!$BO$8:$BO$130)</f>
        <v>1</v>
      </c>
      <c r="O21" s="309">
        <f>SUMIF(开!$AU$8:$AU$213,B21,开!$Z$8:$Z$213)+SUMIF('续 '!AM$8:AM$198,B21,'续 '!$R$8:$R$198)+SUMIF(竣!AM$8:AM$130,B21,竣!$R$8:$R$130)</f>
        <v>29</v>
      </c>
      <c r="P21" s="299">
        <f t="shared" si="1"/>
        <v>29</v>
      </c>
      <c r="Q21" s="309">
        <f>SUMIF(开!$AU$8:$AU$213,B21,开!$AA$8:$AA$213)+SUMIF('续 '!AM$8:AM$198,B21,'续 '!$S$8:$S$198)+SUMIF(竣!AM$8:AM$130,B21,竣!$S$8:$S$130)</f>
        <v>29</v>
      </c>
      <c r="R21" s="309">
        <f>SUMIF(开!$AU$8:$AU$213,B21,开!$AB$8:$AB$213)+SUMIF('续 '!AM$8:AM$198,B21,'续 '!$T$8:$T$198)+SUMIF(竣!AM$8:AM$130,B21,竣!$T$8:$T$130)</f>
        <v>0</v>
      </c>
      <c r="S21" s="309">
        <f>SUMIF(开!$AU$8:$AU$213,B21,开!$BS$8:$BS$213)+SUMIF('续 '!AM$8:AM$198,B21,'续 '!$BQ$8:$BQ$198)+SUMIF(竣!AM$8:AM$130,B21,竣!$BQ$8:$BQ$130)</f>
        <v>0</v>
      </c>
      <c r="T21" s="309">
        <f>SUMIF(开!$AU$8:$AU$213,B21,开!$AC$8:$AC$213)+SUMIF('续 '!AM$8:AM$198,B21,'续 '!$U$8:$U$198)+SUMIF(竣!AM$8:AM$130,B21,竣!$U$8:$U$130)</f>
        <v>0</v>
      </c>
      <c r="U21" s="299">
        <f t="shared" si="3"/>
        <v>0</v>
      </c>
      <c r="V21" s="309">
        <f>SUMIF(开!$AU$8:$AU$213,B21,开!$AD$8:$AD$213)+SUMIF('续 '!AM$8:AM$198,B21,'续 '!$V$8:$V$198)+SUMIF(竣!AM$8:AM$130,B21,竣!$V$8:$V$130)</f>
        <v>0</v>
      </c>
      <c r="W21" s="309">
        <f>SUMIF(开!$AU$8:$AU$213,B21,开!$AE$8:$AE$213)+SUMIF('续 '!AM$8:AM$198,B21,'续 '!$W$8:$W$198)+SUMIF(竣!AM$8:AM$130,B21,竣!$W$8:$W$130)</f>
        <v>0</v>
      </c>
      <c r="X21" s="309">
        <f>SUMIF(开!$AU$8:$AU$213,B21,开!$BR$8:$BR$213)+SUMIF('续 '!AM$8:AM$198,B21,'续 '!$BP$8:$BP$198)+SUMIF(竣!AM$8:AM$130,B21,竣!$BP$8:$BP$130)</f>
        <v>0</v>
      </c>
      <c r="Y21" s="309">
        <f>SUMIF(开!$AU$8:$AU$213,B21,开!$AF$8:$AF$213)+SUMIF('续 '!AM$8:AM$198,B21,'续 '!$X$8:$X$198)+SUMIF(竣!AM$8:AM$130,B21,竣!$X$8:$X$130)</f>
        <v>0</v>
      </c>
      <c r="Z21" s="299">
        <f t="shared" si="4"/>
        <v>0</v>
      </c>
      <c r="AA21" s="309">
        <f>SUMIF(开!$AU$8:$AU$213,B21,开!$AG$8:$AG$213)+SUMIF('续 '!AM$8:AM$198,B21,'续 '!$Y$8:$Y$198)+SUMIF(竣!AM$8:AM$130,B21,竣!$Y$8:$Y$130)</f>
        <v>0</v>
      </c>
      <c r="AB21" s="309">
        <f>SUMIF(开!$AU$8:$AU$213,B21,开!$AH$8:$AH$213)+SUMIF('续 '!AM$8:AM$198,B21,'续 '!$Z$8:$Z$198)+SUMIF(竣!AM$8:AM$130,B21,竣!$Z$8:$Z$130)</f>
        <v>0</v>
      </c>
      <c r="AC21" s="309">
        <f>SUMIF(开!$AU$8:$AU$213,B21,开!$BT$8:$BT$213)+SUMIF('续 '!AM$8:AM$198,B21,'续 '!$BR$8:$BR$198)+SUMIF(竣!AM$8:AM$130,B21,竣!$BR$8:$BR$130)</f>
        <v>0</v>
      </c>
      <c r="AD21" s="309">
        <f>SUMIF(开!$AU$8:$AU$213,B21,开!$AI$8:$AI$213)+SUMIF('续 '!AM$8:AM$198,B21,'续 '!$AA$8:$AA$198)+SUMIF(竣!AM$8:AM$130,B21,竣!$AA$8:$AA$130)</f>
        <v>0</v>
      </c>
      <c r="AE21" s="299">
        <f t="shared" si="5"/>
        <v>0</v>
      </c>
      <c r="AF21" s="309">
        <f>SUMIF(开!$AU$8:$AU$213,B21,开!$AJ$8:$AJ$213)+SUMIF('续 '!AM$8:AM$198,B21,'续 '!$AB$8:$AB$198)+SUMIF(竣!AM$8:AM$130,B21,竣!$AB$8:$AB$130)</f>
        <v>0</v>
      </c>
      <c r="AG21" s="309">
        <f>SUMIF(开!$AU$8:$AU$213,B21,开!$AK$8:$AK$213)+SUMIF('续 '!AM$8:AM$198,B21,'续 '!$AC$8:$AC$198)+SUMIF(竣!AM$8:AM$130,B21,竣!$AC$8:$AC$130)</f>
        <v>0</v>
      </c>
      <c r="AH21" s="309">
        <f>SUMIF(开!$AU$8:$AU$213,B21,开!$BU$8:$BU$213)+SUMIF('续 '!AM$8:AM$198,B21,'续 '!$BS$8:$BS$198)+SUMIF(竣!AM$8:AM$130,B21,竣!$BS$8:$BS$130)</f>
        <v>1</v>
      </c>
      <c r="AI21" s="309">
        <f t="shared" si="6"/>
        <v>1</v>
      </c>
      <c r="AJ21" s="309">
        <f>(SUMIF(开!$AU$8:$AU$213,B21,开!$AL$8:$AL$213)+SUMIF('续 '!AM$8:AM$198,B21,'续 '!$AD$8:$AD$198)+SUMIF(竣!AM$8:AM$130,B21,竣!$AD$8:$AD$130))/10000</f>
        <v>1</v>
      </c>
      <c r="AK21" s="299">
        <f t="shared" si="7"/>
        <v>0</v>
      </c>
      <c r="AL21" s="309">
        <f>(SUMIF(开!$AU$8:$AU$213,B21,开!$AO$8:$AO$213)+SUMIF('续 '!AM$8:AM$198,B21,'续 '!$AF$8:$AF$198)+SUMIF(竣!AM$8:AM$130,B21,竣!$AG$8:$AG$130))/10000</f>
        <v>0</v>
      </c>
      <c r="AM21" s="309">
        <f>(SUMIF(开!$AU$8:$AU$213,B21,开!$AP$8:$AP$213)+SUMIF('续 '!AM$8:AM$198,B21,'续 '!$AH$8:$AH$198)+SUMIF(竣!AM$8:AM$130,B21,竣!$AH$8:$AH$130))/10000</f>
        <v>1</v>
      </c>
      <c r="AN21" s="326"/>
      <c r="AO21" s="326"/>
      <c r="AQ21" s="275" t="s">
        <v>2826</v>
      </c>
      <c r="AR21" s="329"/>
      <c r="AS21" s="329"/>
      <c r="AT21" s="329"/>
      <c r="AU21" s="329"/>
      <c r="AV21" s="329"/>
      <c r="AW21" s="329"/>
      <c r="AX21" s="329"/>
      <c r="AY21" s="329"/>
      <c r="AZ21" s="329"/>
      <c r="BA21" s="329"/>
      <c r="BB21" s="329"/>
      <c r="BC21" s="329"/>
    </row>
    <row r="22" ht="20.1" customHeight="1" spans="1:55">
      <c r="A22" s="320" t="s">
        <v>950</v>
      </c>
      <c r="B22" s="321" t="s">
        <v>950</v>
      </c>
      <c r="C22" s="298">
        <f>单位!F42/10000</f>
        <v>50.5657</v>
      </c>
      <c r="D22" s="298"/>
      <c r="E22" s="298"/>
      <c r="F22" s="299">
        <f>单位!I42</f>
        <v>3</v>
      </c>
      <c r="G22" s="309"/>
      <c r="H22" s="309"/>
      <c r="I22" s="309"/>
      <c r="J22" s="299">
        <f>单位!Y42</f>
        <v>2</v>
      </c>
      <c r="K22" s="309"/>
      <c r="L22" s="309"/>
      <c r="M22" s="309"/>
      <c r="N22" s="309">
        <f>SUMIF(开!$AU$8:$AU$213,B22,开!$BQ$8:$BQ$213)+SUMIF('续 '!$AM$8:$AM$198,B22,'续 '!$BO$8:$BO$198)+SUMIF(竣!$AM$8:$AM$130,B22,竣!$BO$8:$BO$130)</f>
        <v>9</v>
      </c>
      <c r="O22" s="309">
        <f>SUMIF(开!$AU$8:$AU$213,B22,开!$Z$8:$Z$213)+SUMIF('续 '!AM$8:AM$198,B22,'续 '!$R$8:$R$198)+SUMIF(竣!AM$8:AM$130,B22,竣!$R$8:$R$130)</f>
        <v>25877.7637</v>
      </c>
      <c r="P22" s="299">
        <f t="shared" si="1"/>
        <v>4982.1637</v>
      </c>
      <c r="Q22" s="309">
        <f>SUMIF(开!$AU$8:$AU$213,B22,开!$AA$8:$AA$213)+SUMIF('续 '!AM$8:AM$198,B22,'续 '!$S$8:$S$198)+SUMIF(竣!AM$8:AM$130,B22,竣!$S$8:$S$130)</f>
        <v>4982.3217</v>
      </c>
      <c r="R22" s="309">
        <f>SUMIF(开!$AU$8:$AU$213,B22,开!$AB$8:$AB$213)+SUMIF('续 '!AM$8:AM$198,B22,'续 '!$T$8:$T$198)+SUMIF(竣!AM$8:AM$130,B22,竣!$T$8:$T$130)</f>
        <v>20895.6</v>
      </c>
      <c r="S22" s="309">
        <f>SUMIF(开!$AU$8:$AU$213,B22,开!$BS$8:$BS$213)+SUMIF('续 '!AM$8:AM$198,B22,'续 '!$BQ$8:$BQ$198)+SUMIF(竣!AM$8:AM$130,B22,竣!$BQ$8:$BQ$130)</f>
        <v>9</v>
      </c>
      <c r="T22" s="309">
        <f>SUMIF(开!$AU$8:$AU$213,B22,开!$AC$8:$AC$213)+SUMIF('续 '!AM$8:AM$198,B22,'续 '!$U$8:$U$198)+SUMIF(竣!AM$8:AM$130,B22,竣!$U$8:$U$130)</f>
        <v>10113.42</v>
      </c>
      <c r="U22" s="299">
        <f t="shared" si="3"/>
        <v>8194.42</v>
      </c>
      <c r="V22" s="309">
        <f>SUMIF(开!$AU$8:$AU$213,B22,开!$AD$8:$AD$213)+SUMIF('续 '!AM$8:AM$198,B22,'续 '!$V$8:$V$198)+SUMIF(竣!AM$8:AM$130,B22,竣!$V$8:$V$130)</f>
        <v>8195.073</v>
      </c>
      <c r="W22" s="309">
        <f>SUMIF(开!$AU$8:$AU$213,B22,开!$AE$8:$AE$213)+SUMIF('续 '!AM$8:AM$198,B22,'续 '!$W$8:$W$198)+SUMIF(竣!AM$8:AM$130,B22,竣!$W$8:$W$130)</f>
        <v>1919</v>
      </c>
      <c r="X22" s="309">
        <f>SUMIF(开!$AU$8:$AU$213,B22,开!$BR$8:$BR$213)+SUMIF('续 '!AM$8:AM$198,B22,'续 '!$BP$8:$BP$198)+SUMIF(竣!AM$8:AM$130,B22,竣!$BP$8:$BP$130)</f>
        <v>0</v>
      </c>
      <c r="Y22" s="309">
        <f>SUMIF(开!$AU$8:$AU$213,B22,开!$AF$8:$AF$213)+SUMIF('续 '!AM$8:AM$198,B22,'续 '!$X$8:$X$198)+SUMIF(竣!AM$8:AM$130,B22,竣!$X$8:$X$130)</f>
        <v>0</v>
      </c>
      <c r="Z22" s="299">
        <f t="shared" si="4"/>
        <v>0</v>
      </c>
      <c r="AA22" s="309">
        <f>SUMIF(开!$AU$8:$AU$213,B22,开!$AG$8:$AG$213)+SUMIF('续 '!AM$8:AM$198,B22,'续 '!$Y$8:$Y$198)+SUMIF(竣!AM$8:AM$130,B22,竣!$Y$8:$Y$130)</f>
        <v>0</v>
      </c>
      <c r="AB22" s="309">
        <f>SUMIF(开!$AU$8:$AU$213,B22,开!$AH$8:$AH$213)+SUMIF('续 '!AM$8:AM$198,B22,'续 '!$Z$8:$Z$198)+SUMIF(竣!AM$8:AM$130,B22,竣!$Z$8:$Z$130)</f>
        <v>0</v>
      </c>
      <c r="AC22" s="309">
        <f>SUMIF(开!$AU$8:$AU$213,B22,开!$BT$8:$BT$213)+SUMIF('续 '!AM$8:AM$198,B22,'续 '!$BR$8:$BR$198)+SUMIF(竣!AM$8:AM$130,B22,竣!$BR$8:$BR$130)</f>
        <v>9</v>
      </c>
      <c r="AD22" s="309">
        <f>SUMIF(开!$AU$8:$AU$213,B22,开!$AI$8:$AI$213)+SUMIF('续 '!AM$8:AM$198,B22,'续 '!$AA$8:$AA$198)+SUMIF(竣!AM$8:AM$130,B22,竣!$AA$8:$AA$130)</f>
        <v>22466.0357</v>
      </c>
      <c r="AE22" s="299">
        <f t="shared" si="5"/>
        <v>17421.4217</v>
      </c>
      <c r="AF22" s="309">
        <f>SUMIF(开!$AU$8:$AU$213,B22,开!$AJ$8:$AJ$213)+SUMIF('续 '!AM$8:AM$198,B22,'续 '!$AB$8:$AB$198)+SUMIF(竣!AM$8:AM$130,B22,竣!$AB$8:$AB$130)</f>
        <v>17421.9817</v>
      </c>
      <c r="AG22" s="309">
        <f>SUMIF(开!$AU$8:$AU$213,B22,开!$AK$8:$AK$213)+SUMIF('续 '!AM$8:AM$198,B22,'续 '!$AC$8:$AC$198)+SUMIF(竣!AM$8:AM$130,B22,竣!$AC$8:$AC$130)</f>
        <v>5044.614</v>
      </c>
      <c r="AH22" s="309">
        <f>SUMIF(开!$AU$8:$AU$213,B22,开!$BU$8:$BU$213)+SUMIF('续 '!AM$8:AM$198,B22,'续 '!$BS$8:$BS$198)+SUMIF(竣!AM$8:AM$130,B22,竣!$BS$8:$BS$130)</f>
        <v>8</v>
      </c>
      <c r="AI22" s="309">
        <f t="shared" si="6"/>
        <v>50.5657</v>
      </c>
      <c r="AJ22" s="309">
        <f>(SUMIF(开!$AU$8:$AU$213,B22,开!$AL$8:$AL$213)+SUMIF('续 '!AM$8:AM$198,B22,'续 '!$AD$8:$AD$198)+SUMIF(竣!AM$8:AM$130,B22,竣!$AD$8:$AD$130))/10000</f>
        <v>16.3657</v>
      </c>
      <c r="AK22" s="299">
        <f t="shared" si="7"/>
        <v>43.0657</v>
      </c>
      <c r="AL22" s="309">
        <f>(SUMIF(开!$AU$8:$AU$213,B22,开!$AO$8:$AO$213)+SUMIF('续 '!AM$8:AM$198,B22,'续 '!$AF$8:$AF$198)+SUMIF(竣!AM$8:AM$130,B22,竣!$AG$8:$AG$130))/10000</f>
        <v>8.8657</v>
      </c>
      <c r="AM22" s="309">
        <f>(SUMIF(开!$AU$8:$AU$213,B22,开!$AP$8:$AP$213)+SUMIF('续 '!AM$8:AM$198,B22,'续 '!$AH$8:$AH$198)+SUMIF(竣!AM$8:AM$130,B22,竣!$AH$8:$AH$130))/10000</f>
        <v>7.5</v>
      </c>
      <c r="AN22" s="326"/>
      <c r="AO22" s="326"/>
      <c r="AQ22" s="275" t="s">
        <v>2827</v>
      </c>
      <c r="AR22" s="329"/>
      <c r="AS22" s="329"/>
      <c r="AT22" s="329"/>
      <c r="AU22" s="329"/>
      <c r="AV22" s="329"/>
      <c r="AW22" s="329"/>
      <c r="AX22" s="329"/>
      <c r="AY22" s="329"/>
      <c r="AZ22" s="329"/>
      <c r="BA22" s="329"/>
      <c r="BB22" s="329"/>
      <c r="BC22" s="329"/>
    </row>
    <row r="23" ht="24.95" customHeight="1" spans="1:41">
      <c r="A23" s="320" t="s">
        <v>1118</v>
      </c>
      <c r="B23" s="321" t="s">
        <v>1118</v>
      </c>
      <c r="C23" s="298">
        <f>单位!F44/10000</f>
        <v>9.7887</v>
      </c>
      <c r="D23" s="298"/>
      <c r="E23" s="298"/>
      <c r="F23" s="299">
        <f>单位!I44</f>
        <v>1</v>
      </c>
      <c r="G23" s="309"/>
      <c r="H23" s="309"/>
      <c r="I23" s="309"/>
      <c r="J23" s="299">
        <f>单位!Y44</f>
        <v>2</v>
      </c>
      <c r="K23" s="309"/>
      <c r="L23" s="309"/>
      <c r="M23" s="309"/>
      <c r="N23" s="309">
        <f>SUMIF(开!$AU$8:$AU$213,B23,开!$BQ$8:$BQ$213)+SUMIF('续 '!$AM$8:$AM$198,B23,'续 '!$BO$8:$BO$198)+SUMIF(竣!$AM$8:$AM$130,B23,竣!$BO$8:$BO$130)</f>
        <v>0</v>
      </c>
      <c r="O23" s="309">
        <f>SUMIF(开!$AU$8:$AU$213,B23,开!$Z$8:$Z$213)+SUMIF('续 '!AM$8:AM$198,B23,'续 '!$R$8:$R$198)+SUMIF(竣!AM$8:AM$130,B23,竣!$R$8:$R$130)</f>
        <v>0</v>
      </c>
      <c r="P23" s="299">
        <f t="shared" si="1"/>
        <v>0</v>
      </c>
      <c r="Q23" s="309">
        <f>SUMIF(开!$AU$8:$AU$213,B23,开!$AA$8:$AA$213)+SUMIF('续 '!AM$8:AM$198,B23,'续 '!$S$8:$S$198)+SUMIF(竣!AM$8:AM$130,B23,竣!$S$8:$S$130)</f>
        <v>0</v>
      </c>
      <c r="R23" s="309">
        <f>SUMIF(开!$AU$8:$AU$213,B23,开!$AB$8:$AB$213)+SUMIF('续 '!AM$8:AM$198,B23,'续 '!$T$8:$T$198)+SUMIF(竣!AM$8:AM$130,B23,竣!$T$8:$T$130)</f>
        <v>0</v>
      </c>
      <c r="S23" s="309">
        <f>SUMIF(开!$AU$8:$AU$213,B23,开!$BS$8:$BS$213)+SUMIF('续 '!AM$8:AM$198,B23,'续 '!$BQ$8:$BQ$198)+SUMIF(竣!AM$8:AM$130,B23,竣!$BQ$8:$BQ$130)</f>
        <v>0</v>
      </c>
      <c r="T23" s="309">
        <f>SUMIF(开!$AU$8:$AU$213,B23,开!$AC$8:$AC$213)+SUMIF('续 '!AM$8:AM$198,B23,'续 '!$U$8:$U$198)+SUMIF(竣!AM$8:AM$130,B23,竣!$U$8:$U$130)</f>
        <v>0</v>
      </c>
      <c r="U23" s="299">
        <f t="shared" si="3"/>
        <v>0</v>
      </c>
      <c r="V23" s="309">
        <f>SUMIF(开!$AU$8:$AU$213,B23,开!$AD$8:$AD$213)+SUMIF('续 '!AM$8:AM$198,B23,'续 '!$V$8:$V$198)+SUMIF(竣!AM$8:AM$130,B23,竣!$V$8:$V$130)</f>
        <v>0</v>
      </c>
      <c r="W23" s="309">
        <f>SUMIF(开!$AU$8:$AU$213,B23,开!$AE$8:$AE$213)+SUMIF('续 '!AM$8:AM$198,B23,'续 '!$W$8:$W$198)+SUMIF(竣!AM$8:AM$130,B23,竣!$W$8:$W$130)</f>
        <v>0</v>
      </c>
      <c r="X23" s="309">
        <f>SUMIF(开!$AU$8:$AU$213,B23,开!$BR$8:$BR$213)+SUMIF('续 '!AM$8:AM$198,B23,'续 '!$BP$8:$BP$198)+SUMIF(竣!AM$8:AM$130,B23,竣!$BP$8:$BP$130)</f>
        <v>0</v>
      </c>
      <c r="Y23" s="309">
        <f>SUMIF(开!$AU$8:$AU$213,B23,开!$AF$8:$AF$213)+SUMIF('续 '!AM$8:AM$198,B23,'续 '!$X$8:$X$198)+SUMIF(竣!AM$8:AM$130,B23,竣!$X$8:$X$130)</f>
        <v>0</v>
      </c>
      <c r="Z23" s="299">
        <f t="shared" si="4"/>
        <v>0</v>
      </c>
      <c r="AA23" s="309">
        <f>SUMIF(开!$AU$8:$AU$213,B23,开!$AG$8:$AG$213)+SUMIF('续 '!AM$8:AM$198,B23,'续 '!$Y$8:$Y$198)+SUMIF(竣!AM$8:AM$130,B23,竣!$Y$8:$Y$130)</f>
        <v>0</v>
      </c>
      <c r="AB23" s="309">
        <f>SUMIF(开!$AU$8:$AU$213,B23,开!$AH$8:$AH$213)+SUMIF('续 '!AM$8:AM$198,B23,'续 '!$Z$8:$Z$198)+SUMIF(竣!AM$8:AM$130,B23,竣!$Z$8:$Z$130)</f>
        <v>0</v>
      </c>
      <c r="AC23" s="309">
        <f>SUMIF(开!$AU$8:$AU$213,B23,开!$BT$8:$BT$213)+SUMIF('续 '!AM$8:AM$198,B23,'续 '!$BR$8:$BR$198)+SUMIF(竣!AM$8:AM$130,B23,竣!$BR$8:$BR$130)</f>
        <v>0</v>
      </c>
      <c r="AD23" s="309">
        <f>SUMIF(开!$AU$8:$AU$213,B23,开!$AI$8:$AI$213)+SUMIF('续 '!AM$8:AM$198,B23,'续 '!$AA$8:$AA$198)+SUMIF(竣!AM$8:AM$130,B23,竣!$AA$8:$AA$130)</f>
        <v>0</v>
      </c>
      <c r="AE23" s="299">
        <f t="shared" si="5"/>
        <v>0</v>
      </c>
      <c r="AF23" s="309">
        <f>SUMIF(开!$AU$8:$AU$213,B23,开!$AJ$8:$AJ$213)+SUMIF('续 '!AM$8:AM$198,B23,'续 '!$AB$8:$AB$198)+SUMIF(竣!AM$8:AM$130,B23,竣!$AB$8:$AB$130)</f>
        <v>0</v>
      </c>
      <c r="AG23" s="309">
        <f>SUMIF(开!$AU$8:$AU$213,B23,开!$AK$8:$AK$213)+SUMIF('续 '!AM$8:AM$198,B23,'续 '!$AC$8:$AC$198)+SUMIF(竣!AM$8:AM$130,B23,竣!$AC$8:$AC$130)</f>
        <v>0</v>
      </c>
      <c r="AH23" s="309">
        <f>SUMIF(开!$AU$8:$AU$213,B23,开!$BU$8:$BU$213)+SUMIF('续 '!AM$8:AM$198,B23,'续 '!$BS$8:$BS$198)+SUMIF(竣!AM$8:AM$130,B23,竣!$BS$8:$BS$130)</f>
        <v>0</v>
      </c>
      <c r="AI23" s="309">
        <f t="shared" si="6"/>
        <v>9.7887</v>
      </c>
      <c r="AJ23" s="309">
        <f>(SUMIF(开!$AU$8:$AU$213,B23,开!$AL$8:$AL$213)+SUMIF('续 '!AM$8:AM$198,B23,'续 '!$AD$8:$AD$198)+SUMIF(竣!AM$8:AM$130,B23,竣!$AD$8:$AD$130))/10000</f>
        <v>0</v>
      </c>
      <c r="AK23" s="299">
        <f t="shared" si="7"/>
        <v>9.7887</v>
      </c>
      <c r="AL23" s="309">
        <f>(SUMIF(开!$AU$8:$AU$213,B23,开!$AO$8:$AO$213)+SUMIF('续 '!AM$8:AM$198,B23,'续 '!$AF$8:$AF$198)+SUMIF(竣!AM$8:AM$130,B23,竣!$AG$8:$AG$130))/10000</f>
        <v>0</v>
      </c>
      <c r="AM23" s="309">
        <f>(SUMIF(开!$AU$8:$AU$213,B23,开!$AP$8:$AP$213)+SUMIF('续 '!AM$8:AM$198,B23,'续 '!$AH$8:$AH$198)+SUMIF(竣!AM$8:AM$130,B23,竣!$AH$8:$AH$130))/10000</f>
        <v>0</v>
      </c>
      <c r="AN23" s="326"/>
      <c r="AO23" s="326"/>
    </row>
    <row r="24" ht="20.1" customHeight="1" spans="1:41">
      <c r="A24" s="320" t="s">
        <v>979</v>
      </c>
      <c r="B24" s="321" t="s">
        <v>979</v>
      </c>
      <c r="C24" s="298">
        <f>单位!F46/10000</f>
        <v>5.39</v>
      </c>
      <c r="D24" s="298"/>
      <c r="E24" s="298"/>
      <c r="F24" s="299">
        <f>单位!I46</f>
        <v>1</v>
      </c>
      <c r="G24" s="309"/>
      <c r="H24" s="309"/>
      <c r="I24" s="309"/>
      <c r="J24" s="299">
        <f>单位!Y46</f>
        <v>1</v>
      </c>
      <c r="K24" s="309"/>
      <c r="L24" s="309"/>
      <c r="M24" s="309"/>
      <c r="N24" s="309">
        <f>SUMIF(开!$AU$8:$AU$213,B24,开!$BQ$8:$BQ$213)+SUMIF('续 '!$AM$8:$AM$198,B24,'续 '!$BO$8:$BO$198)+SUMIF(竣!$AM$8:$AM$130,B24,竣!$BO$8:$BO$130)</f>
        <v>6</v>
      </c>
      <c r="O24" s="309">
        <f>SUMIF(开!$AU$8:$AU$213,B24,开!$Z$8:$Z$213)+SUMIF('续 '!AM$8:AM$198,B24,'续 '!$R$8:$R$198)+SUMIF(竣!AM$8:AM$130,B24,竣!$R$8:$R$130)</f>
        <v>970</v>
      </c>
      <c r="P24" s="299">
        <f t="shared" si="1"/>
        <v>702</v>
      </c>
      <c r="Q24" s="309">
        <f>SUMIF(开!$AU$8:$AU$213,B24,开!$AA$8:$AA$213)+SUMIF('续 '!AM$8:AM$198,B24,'续 '!$S$8:$S$198)+SUMIF(竣!AM$8:AM$130,B24,竣!$S$8:$S$130)</f>
        <v>702</v>
      </c>
      <c r="R24" s="309">
        <f>SUMIF(开!$AU$8:$AU$213,B24,开!$AB$8:$AB$213)+SUMIF('续 '!AM$8:AM$198,B24,'续 '!$T$8:$T$198)+SUMIF(竣!AM$8:AM$130,B24,竣!$T$8:$T$130)</f>
        <v>268</v>
      </c>
      <c r="S24" s="309">
        <f>SUMIF(开!$AU$8:$AU$213,B24,开!$BS$8:$BS$213)+SUMIF('续 '!AM$8:AM$198,B24,'续 '!$BQ$8:$BQ$198)+SUMIF(竣!AM$8:AM$130,B24,竣!$BQ$8:$BQ$130)</f>
        <v>2</v>
      </c>
      <c r="T24" s="309">
        <f>SUMIF(开!$AU$8:$AU$213,B24,开!$AC$8:$AC$213)+SUMIF('续 '!AM$8:AM$198,B24,'续 '!$U$8:$U$198)+SUMIF(竣!AM$8:AM$130,B24,竣!$U$8:$U$130)</f>
        <v>50</v>
      </c>
      <c r="U24" s="299">
        <f t="shared" si="3"/>
        <v>50</v>
      </c>
      <c r="V24" s="309">
        <f>SUMIF(开!$AU$8:$AU$213,B24,开!$AD$8:$AD$213)+SUMIF('续 '!AM$8:AM$198,B24,'续 '!$V$8:$V$198)+SUMIF(竣!AM$8:AM$130,B24,竣!$V$8:$V$130)</f>
        <v>0</v>
      </c>
      <c r="W24" s="309">
        <f>SUMIF(开!$AU$8:$AU$213,B24,开!$AE$8:$AE$213)+SUMIF('续 '!AM$8:AM$198,B24,'续 '!$W$8:$W$198)+SUMIF(竣!AM$8:AM$130,B24,竣!$W$8:$W$130)</f>
        <v>0</v>
      </c>
      <c r="X24" s="309">
        <f>SUMIF(开!$AU$8:$AU$213,B24,开!$BR$8:$BR$213)+SUMIF('续 '!AM$8:AM$198,B24,'续 '!$BP$8:$BP$198)+SUMIF(竣!AM$8:AM$130,B24,竣!$BP$8:$BP$130)</f>
        <v>0</v>
      </c>
      <c r="Y24" s="309">
        <f>SUMIF(开!$AU$8:$AU$213,B24,开!$AF$8:$AF$213)+SUMIF('续 '!AM$8:AM$198,B24,'续 '!$X$8:$X$198)+SUMIF(竣!AM$8:AM$130,B24,竣!$X$8:$X$130)</f>
        <v>0</v>
      </c>
      <c r="Z24" s="299">
        <f t="shared" si="4"/>
        <v>0</v>
      </c>
      <c r="AA24" s="309">
        <f>SUMIF(开!$AU$8:$AU$213,B24,开!$AG$8:$AG$213)+SUMIF('续 '!AM$8:AM$198,B24,'续 '!$Y$8:$Y$198)+SUMIF(竣!AM$8:AM$130,B24,竣!$Y$8:$Y$130)</f>
        <v>0</v>
      </c>
      <c r="AB24" s="309">
        <f>SUMIF(开!$AU$8:$AU$213,B24,开!$AH$8:$AH$213)+SUMIF('续 '!AM$8:AM$198,B24,'续 '!$Z$8:$Z$198)+SUMIF(竣!AM$8:AM$130,B24,竣!$Z$8:$Z$130)</f>
        <v>0</v>
      </c>
      <c r="AC24" s="309">
        <f>SUMIF(开!$AU$8:$AU$213,B24,开!$BT$8:$BT$213)+SUMIF('续 '!AM$8:AM$198,B24,'续 '!$BR$8:$BR$198)+SUMIF(竣!AM$8:AM$130,B24,竣!$BR$8:$BR$130)</f>
        <v>5</v>
      </c>
      <c r="AD24" s="309">
        <f>SUMIF(开!$AU$8:$AU$213,B24,开!$AI$8:$AI$213)+SUMIF('续 '!AM$8:AM$198,B24,'续 '!$AA$8:$AA$198)+SUMIF(竣!AM$8:AM$130,B24,竣!$AA$8:$AA$130)</f>
        <v>675</v>
      </c>
      <c r="AE24" s="299">
        <f t="shared" si="5"/>
        <v>624</v>
      </c>
      <c r="AF24" s="309">
        <f>SUMIF(开!$AU$8:$AU$213,B24,开!$AJ$8:$AJ$213)+SUMIF('续 '!AM$8:AM$198,B24,'续 '!$AB$8:$AB$198)+SUMIF(竣!AM$8:AM$130,B24,竣!$AB$8:$AB$130)</f>
        <v>624</v>
      </c>
      <c r="AG24" s="309">
        <f>SUMIF(开!$AU$8:$AU$213,B24,开!$AK$8:$AK$213)+SUMIF('续 '!AM$8:AM$198,B24,'续 '!$AC$8:$AC$198)+SUMIF(竣!AM$8:AM$130,B24,竣!$AC$8:$AC$130)</f>
        <v>51</v>
      </c>
      <c r="AH24" s="309">
        <f>SUMIF(开!$AU$8:$AU$213,B24,开!$BU$8:$BU$213)+SUMIF('续 '!AM$8:AM$198,B24,'续 '!$BS$8:$BS$198)+SUMIF(竣!AM$8:AM$130,B24,竣!$BS$8:$BS$130)</f>
        <v>6</v>
      </c>
      <c r="AI24" s="309">
        <f t="shared" si="6"/>
        <v>5.39</v>
      </c>
      <c r="AJ24" s="309">
        <f>(SUMIF(开!$AU$8:$AU$213,B24,开!$AL$8:$AL$213)+SUMIF('续 '!AM$8:AM$198,B24,'续 '!$AD$8:$AD$198)+SUMIF(竣!AM$8:AM$130,B24,竣!$AD$8:$AD$130))/10000</f>
        <v>1.8</v>
      </c>
      <c r="AK24" s="299">
        <f t="shared" si="7"/>
        <v>3.59</v>
      </c>
      <c r="AL24" s="309">
        <f>(SUMIF(开!$AU$8:$AU$213,B24,开!$AO$8:$AO$213)+SUMIF('续 '!AM$8:AM$198,B24,'续 '!$AF$8:$AF$198)+SUMIF(竣!AM$8:AM$130,B24,竣!$AG$8:$AG$130))/10000</f>
        <v>0</v>
      </c>
      <c r="AM24" s="309">
        <f>(SUMIF(开!$AU$8:$AU$213,B24,开!$AP$8:$AP$213)+SUMIF('续 '!AM$8:AM$198,B24,'续 '!$AH$8:$AH$198)+SUMIF(竣!AM$8:AM$130,B24,竣!$AH$8:$AH$130))/10000</f>
        <v>1.8</v>
      </c>
      <c r="AN24" s="326"/>
      <c r="AO24" s="326"/>
    </row>
    <row r="25" ht="20.1" customHeight="1" spans="1:41">
      <c r="A25" s="320"/>
      <c r="B25" s="321"/>
      <c r="C25" s="298"/>
      <c r="D25" s="298"/>
      <c r="E25" s="298"/>
      <c r="F25" s="299"/>
      <c r="G25" s="309"/>
      <c r="H25" s="309"/>
      <c r="I25" s="309"/>
      <c r="J25" s="299"/>
      <c r="K25" s="309"/>
      <c r="L25" s="309"/>
      <c r="M25" s="309"/>
      <c r="N25" s="309"/>
      <c r="O25" s="309"/>
      <c r="P25" s="299"/>
      <c r="Q25" s="309"/>
      <c r="R25" s="309"/>
      <c r="S25" s="309"/>
      <c r="T25" s="309"/>
      <c r="U25" s="299"/>
      <c r="V25" s="309"/>
      <c r="W25" s="309"/>
      <c r="X25" s="309"/>
      <c r="Y25" s="309"/>
      <c r="Z25" s="299"/>
      <c r="AA25" s="309"/>
      <c r="AB25" s="309"/>
      <c r="AC25" s="309"/>
      <c r="AD25" s="309"/>
      <c r="AE25" s="299"/>
      <c r="AF25" s="309"/>
      <c r="AG25" s="309"/>
      <c r="AH25" s="309"/>
      <c r="AI25" s="309"/>
      <c r="AJ25" s="309"/>
      <c r="AK25" s="299"/>
      <c r="AL25" s="309"/>
      <c r="AM25" s="309"/>
      <c r="AN25" s="326"/>
      <c r="AO25" s="326"/>
    </row>
    <row r="26" ht="20.1" customHeight="1" spans="1:41">
      <c r="A26" s="320" t="s">
        <v>986</v>
      </c>
      <c r="B26" s="321" t="s">
        <v>986</v>
      </c>
      <c r="C26" s="298">
        <f>单位!F50/10000</f>
        <v>5.6114</v>
      </c>
      <c r="D26" s="298"/>
      <c r="E26" s="298"/>
      <c r="F26" s="299">
        <f>单位!I50</f>
        <v>3</v>
      </c>
      <c r="G26" s="309"/>
      <c r="H26" s="309"/>
      <c r="I26" s="309"/>
      <c r="J26" s="299">
        <f>单位!Y50</f>
        <v>4</v>
      </c>
      <c r="K26" s="309"/>
      <c r="L26" s="309"/>
      <c r="M26" s="309"/>
      <c r="N26" s="309">
        <f>SUMIF(开!$AU$8:$AU$213,B26,开!$BQ$8:$BQ$213)+SUMIF('续 '!$AM$8:$AM$198,B26,'续 '!$BO$8:$BO$198)+SUMIF(竣!$AM$8:$AM$130,B26,竣!$BO$8:$BO$130)</f>
        <v>3</v>
      </c>
      <c r="O26" s="309">
        <f>SUMIF(开!$AU$8:$AU$213,B26,开!$Z$8:$Z$213)+SUMIF('续 '!AM$8:AM$198,B26,'续 '!$R$8:$R$198)+SUMIF(竣!AM$8:AM$130,B26,竣!$R$8:$R$130)</f>
        <v>275.98</v>
      </c>
      <c r="P26" s="299">
        <f t="shared" si="1"/>
        <v>10.98</v>
      </c>
      <c r="Q26" s="309">
        <f>SUMIF(开!$AU$8:$AU$213,B26,开!$AA$8:$AA$213)+SUMIF('续 '!AM$8:AM$198,B26,'续 '!$S$8:$S$198)+SUMIF(竣!AM$8:AM$130,B26,竣!$S$8:$S$130)</f>
        <v>10.98</v>
      </c>
      <c r="R26" s="309">
        <f>SUMIF(开!$AU$8:$AU$213,B26,开!$AB$8:$AB$213)+SUMIF('续 '!AM$8:AM$198,B26,'续 '!$T$8:$T$198)+SUMIF(竣!AM$8:AM$130,B26,竣!$T$8:$T$130)</f>
        <v>265</v>
      </c>
      <c r="S26" s="309">
        <f>SUMIF(开!$AU$8:$AU$213,B26,开!$BS$8:$BS$213)+SUMIF('续 '!AM$8:AM$198,B26,'续 '!$BQ$8:$BQ$198)+SUMIF(竣!AM$8:AM$130,B26,竣!$BQ$8:$BQ$130)</f>
        <v>2</v>
      </c>
      <c r="T26" s="309">
        <f>SUMIF(开!$AU$8:$AU$213,B26,开!$AC$8:$AC$213)+SUMIF('续 '!AM$8:AM$198,B26,'续 '!$U$8:$U$198)+SUMIF(竣!AM$8:AM$130,B26,竣!$U$8:$U$130)</f>
        <v>103.3</v>
      </c>
      <c r="U26" s="299">
        <f t="shared" si="3"/>
        <v>103.3</v>
      </c>
      <c r="V26" s="309">
        <f>SUMIF(开!$AU$8:$AU$213,B26,开!$AD$8:$AD$213)+SUMIF('续 '!AM$8:AM$198,B26,'续 '!$V$8:$V$198)+SUMIF(竣!AM$8:AM$130,B26,竣!$V$8:$V$130)</f>
        <v>103.3</v>
      </c>
      <c r="W26" s="309">
        <f>SUMIF(开!$AU$8:$AU$213,B26,开!$AE$8:$AE$213)+SUMIF('续 '!AM$8:AM$198,B26,'续 '!$W$8:$W$198)+SUMIF(竣!AM$8:AM$130,B26,竣!$W$8:$W$130)</f>
        <v>0</v>
      </c>
      <c r="X26" s="309">
        <f>SUMIF(开!$AU$8:$AU$213,B26,开!$BR$8:$BR$213)+SUMIF('续 '!AM$8:AM$198,B26,'续 '!$BP$8:$BP$198)+SUMIF(竣!AM$8:AM$130,B26,竣!$BP$8:$BP$130)</f>
        <v>0</v>
      </c>
      <c r="Y26" s="309">
        <f>SUMIF(开!$AU$8:$AU$213,B26,开!$AF$8:$AF$213)+SUMIF('续 '!AM$8:AM$198,B26,'续 '!$X$8:$X$198)+SUMIF(竣!AM$8:AM$130,B26,竣!$X$8:$X$130)</f>
        <v>0</v>
      </c>
      <c r="Z26" s="299">
        <f t="shared" si="4"/>
        <v>0</v>
      </c>
      <c r="AA26" s="309">
        <f>SUMIF(开!$AU$8:$AU$213,B26,开!$AG$8:$AG$213)+SUMIF('续 '!AM$8:AM$198,B26,'续 '!$Y$8:$Y$198)+SUMIF(竣!AM$8:AM$130,B26,竣!$Y$8:$Y$130)</f>
        <v>0</v>
      </c>
      <c r="AB26" s="309">
        <f>SUMIF(开!$AU$8:$AU$213,B26,开!$AH$8:$AH$213)+SUMIF('续 '!AM$8:AM$198,B26,'续 '!$Z$8:$Z$198)+SUMIF(竣!AM$8:AM$130,B26,竣!$Z$8:$Z$130)</f>
        <v>0</v>
      </c>
      <c r="AC26" s="309">
        <f>SUMIF(开!$AU$8:$AU$213,B26,开!$BT$8:$BT$213)+SUMIF('续 '!AM$8:AM$198,B26,'续 '!$BR$8:$BR$198)+SUMIF(竣!AM$8:AM$130,B26,竣!$BR$8:$BR$130)</f>
        <v>3</v>
      </c>
      <c r="AD26" s="309">
        <f>SUMIF(开!$AU$8:$AU$213,B26,开!$AI$8:$AI$213)+SUMIF('续 '!AM$8:AM$198,B26,'续 '!$AA$8:$AA$198)+SUMIF(竣!AM$8:AM$130,B26,竣!$AA$8:$AA$130)</f>
        <v>303.87</v>
      </c>
      <c r="AE26" s="299">
        <f t="shared" si="5"/>
        <v>80.87</v>
      </c>
      <c r="AF26" s="309">
        <f>SUMIF(开!$AU$8:$AU$213,B26,开!$AJ$8:$AJ$213)+SUMIF('续 '!AM$8:AM$198,B26,'续 '!$AB$8:$AB$198)+SUMIF(竣!AM$8:AM$130,B26,竣!$AB$8:$AB$130)</f>
        <v>80.87</v>
      </c>
      <c r="AG26" s="309">
        <f>SUMIF(开!$AU$8:$AU$213,B26,开!$AK$8:$AK$213)+SUMIF('续 '!AM$8:AM$198,B26,'续 '!$AC$8:$AC$198)+SUMIF(竣!AM$8:AM$130,B26,竣!$AC$8:$AC$130)</f>
        <v>223</v>
      </c>
      <c r="AH26" s="309">
        <f>SUMIF(开!$AU$8:$AU$213,B26,开!$BU$8:$BU$213)+SUMIF('续 '!AM$8:AM$198,B26,'续 '!$BS$8:$BS$198)+SUMIF(竣!AM$8:AM$130,B26,竣!$BS$8:$BS$130)</f>
        <v>9</v>
      </c>
      <c r="AI26" s="309">
        <f t="shared" si="6"/>
        <v>5.6114</v>
      </c>
      <c r="AJ26" s="309">
        <f>(SUMIF(开!$AU$8:$AU$213,B26,开!$AL$8:$AL$213)+SUMIF('续 '!AM$8:AM$198,B26,'续 '!$AD$8:$AD$198)+SUMIF(竣!AM$8:AM$130,B26,竣!$AD$8:$AD$130))/10000</f>
        <v>3.0004</v>
      </c>
      <c r="AK26" s="299">
        <f t="shared" si="7"/>
        <v>3.461</v>
      </c>
      <c r="AL26" s="309">
        <f>(SUMIF(开!$AU$8:$AU$213,B26,开!$AO$8:$AO$213)+SUMIF('续 '!AM$8:AM$198,B26,'续 '!$AF$8:$AF$198)+SUMIF(竣!AM$8:AM$130,B26,竣!$AG$8:$AG$130))/10000</f>
        <v>0.15</v>
      </c>
      <c r="AM26" s="309">
        <f>(SUMIF(开!$AU$8:$AU$213,B26,开!$AP$8:$AP$213)+SUMIF('续 '!AM$8:AM$198,B26,'续 '!$AH$8:$AH$198)+SUMIF(竣!AM$8:AM$130,B26,竣!$AH$8:$AH$130))/10000</f>
        <v>2.1504</v>
      </c>
      <c r="AN26" s="326"/>
      <c r="AO26" s="326"/>
    </row>
    <row r="27" ht="20.1" customHeight="1" spans="1:41">
      <c r="A27" s="320" t="s">
        <v>1582</v>
      </c>
      <c r="B27" s="321" t="s">
        <v>1582</v>
      </c>
      <c r="C27" s="298">
        <f>单位!F52/10000</f>
        <v>1</v>
      </c>
      <c r="D27" s="298"/>
      <c r="E27" s="298"/>
      <c r="F27" s="299">
        <f>单位!I52</f>
        <v>0</v>
      </c>
      <c r="G27" s="309"/>
      <c r="H27" s="309"/>
      <c r="I27" s="309"/>
      <c r="J27" s="299">
        <f>单位!Y52</f>
        <v>0</v>
      </c>
      <c r="K27" s="309"/>
      <c r="L27" s="309"/>
      <c r="M27" s="309"/>
      <c r="N27" s="309">
        <f>SUMIF(开!$AU$8:$AU$213,B27,开!$BQ$8:$BQ$213)+SUMIF('续 '!$AM$8:$AM$198,B27,'续 '!$BO$8:$BO$198)+SUMIF(竣!$AM$8:$AM$130,B27,竣!$BO$8:$BO$130)</f>
        <v>1</v>
      </c>
      <c r="O27" s="309">
        <f>SUMIF(开!$AU$8:$AU$213,B27,开!$Z$8:$Z$213)+SUMIF('续 '!AM$8:AM$198,B27,'续 '!$R$8:$R$198)+SUMIF(竣!AM$8:AM$130,B27,竣!$R$8:$R$130)</f>
        <v>345.26</v>
      </c>
      <c r="P27" s="299">
        <f t="shared" si="1"/>
        <v>31.26</v>
      </c>
      <c r="Q27" s="309">
        <f>SUMIF(开!$AU$8:$AU$213,B27,开!$AA$8:$AA$213)+SUMIF('续 '!AM$8:AM$198,B27,'续 '!$S$8:$S$198)+SUMIF(竣!AM$8:AM$130,B27,竣!$S$8:$S$130)</f>
        <v>31.07</v>
      </c>
      <c r="R27" s="309">
        <f>SUMIF(开!$AU$8:$AU$213,B27,开!$AB$8:$AB$213)+SUMIF('续 '!AM$8:AM$198,B27,'续 '!$T$8:$T$198)+SUMIF(竣!AM$8:AM$130,B27,竣!$T$8:$T$130)</f>
        <v>314</v>
      </c>
      <c r="S27" s="309">
        <f>SUMIF(开!$AU$8:$AU$213,B27,开!$BS$8:$BS$213)+SUMIF('续 '!AM$8:AM$198,B27,'续 '!$BQ$8:$BQ$198)+SUMIF(竣!AM$8:AM$130,B27,竣!$BQ$8:$BQ$130)</f>
        <v>1</v>
      </c>
      <c r="T27" s="309">
        <f>SUMIF(开!$AU$8:$AU$213,B27,开!$AC$8:$AC$213)+SUMIF('续 '!AM$8:AM$198,B27,'续 '!$U$8:$U$198)+SUMIF(竣!AM$8:AM$130,B27,竣!$U$8:$U$130)</f>
        <v>499</v>
      </c>
      <c r="U27" s="299">
        <f t="shared" si="3"/>
        <v>0</v>
      </c>
      <c r="V27" s="309">
        <f>SUMIF(开!$AU$8:$AU$213,B27,开!$AD$8:$AD$213)+SUMIF('续 '!AM$8:AM$198,B27,'续 '!$V$8:$V$198)+SUMIF(竣!AM$8:AM$130,B27,竣!$V$8:$V$130)</f>
        <v>0</v>
      </c>
      <c r="W27" s="309">
        <f>SUMIF(开!$AU$8:$AU$213,B27,开!$AE$8:$AE$213)+SUMIF('续 '!AM$8:AM$198,B27,'续 '!$W$8:$W$198)+SUMIF(竣!AM$8:AM$130,B27,竣!$W$8:$W$130)</f>
        <v>499</v>
      </c>
      <c r="X27" s="309">
        <f>SUMIF(开!$AU$8:$AU$213,B27,开!$BR$8:$BR$213)+SUMIF('续 '!AM$8:AM$198,B27,'续 '!$BP$8:$BP$198)+SUMIF(竣!AM$8:AM$130,B27,竣!$BP$8:$BP$130)</f>
        <v>0</v>
      </c>
      <c r="Y27" s="309">
        <f>SUMIF(开!$AU$8:$AU$213,B27,开!$AF$8:$AF$213)+SUMIF('续 '!AM$8:AM$198,B27,'续 '!$X$8:$X$198)+SUMIF(竣!AM$8:AM$130,B27,竣!$X$8:$X$130)</f>
        <v>0</v>
      </c>
      <c r="Z27" s="299">
        <f t="shared" si="4"/>
        <v>0</v>
      </c>
      <c r="AA27" s="309">
        <f>SUMIF(开!$AU$8:$AU$213,B27,开!$AG$8:$AG$213)+SUMIF('续 '!AM$8:AM$198,B27,'续 '!$Y$8:$Y$198)+SUMIF(竣!AM$8:AM$130,B27,竣!$Y$8:$Y$130)</f>
        <v>0</v>
      </c>
      <c r="AB27" s="309">
        <f>SUMIF(开!$AU$8:$AU$213,B27,开!$AH$8:$AH$213)+SUMIF('续 '!AM$8:AM$198,B27,'续 '!$Z$8:$Z$198)+SUMIF(竣!AM$8:AM$130,B27,竣!$Z$8:$Z$130)</f>
        <v>0</v>
      </c>
      <c r="AC27" s="309">
        <f>SUMIF(开!$AU$8:$AU$213,B27,开!$BT$8:$BT$213)+SUMIF('续 '!AM$8:AM$198,B27,'续 '!$BR$8:$BR$198)+SUMIF(竣!AM$8:AM$130,B27,竣!$BR$8:$BR$130)</f>
        <v>0</v>
      </c>
      <c r="AD27" s="309">
        <f>SUMIF(开!$AU$8:$AU$213,B27,开!$AI$8:$AI$213)+SUMIF('续 '!AM$8:AM$198,B27,'续 '!$AA$8:$AA$198)+SUMIF(竣!AM$8:AM$130,B27,竣!$AA$8:$AA$130)</f>
        <v>0</v>
      </c>
      <c r="AE27" s="299">
        <f t="shared" si="5"/>
        <v>0</v>
      </c>
      <c r="AF27" s="309">
        <f>SUMIF(开!$AU$8:$AU$213,B27,开!$AJ$8:$AJ$213)+SUMIF('续 '!AM$8:AM$198,B27,'续 '!$AB$8:$AB$198)+SUMIF(竣!AM$8:AM$130,B27,竣!$AB$8:$AB$130)</f>
        <v>0</v>
      </c>
      <c r="AG27" s="309">
        <f>SUMIF(开!$AU$8:$AU$213,B27,开!$AK$8:$AK$213)+SUMIF('续 '!AM$8:AM$198,B27,'续 '!$AC$8:$AC$198)+SUMIF(竣!AM$8:AM$130,B27,竣!$AC$8:$AC$130)</f>
        <v>0</v>
      </c>
      <c r="AH27" s="309">
        <f>SUMIF(开!$AU$8:$AU$213,B27,开!$BU$8:$BU$213)+SUMIF('续 '!AM$8:AM$198,B27,'续 '!$BS$8:$BS$198)+SUMIF(竣!AM$8:AM$130,B27,竣!$BS$8:$BS$130)</f>
        <v>1</v>
      </c>
      <c r="AI27" s="309">
        <f t="shared" si="6"/>
        <v>1</v>
      </c>
      <c r="AJ27" s="309">
        <f>(SUMIF(开!$AU$8:$AU$213,B27,开!$AL$8:$AL$213)+SUMIF('续 '!AM$8:AM$198,B27,'续 '!$AD$8:$AD$198)+SUMIF(竣!AM$8:AM$130,B27,竣!$AD$8:$AD$130))/10000</f>
        <v>1</v>
      </c>
      <c r="AK27" s="299">
        <f t="shared" si="7"/>
        <v>0.25</v>
      </c>
      <c r="AL27" s="309">
        <f>(SUMIF(开!$AU$8:$AU$213,B27,开!$AO$8:$AO$213)+SUMIF('续 '!AM$8:AM$198,B27,'续 '!$AF$8:$AF$198)+SUMIF(竣!AM$8:AM$130,B27,竣!$AG$8:$AG$130))/10000</f>
        <v>0.25</v>
      </c>
      <c r="AM27" s="309">
        <f>(SUMIF(开!$AU$8:$AU$213,B27,开!$AP$8:$AP$213)+SUMIF('续 '!AM$8:AM$198,B27,'续 '!$AH$8:$AH$198)+SUMIF(竣!AM$8:AM$130,B27,竣!$AH$8:$AH$130))/10000</f>
        <v>0.75</v>
      </c>
      <c r="AN27" s="326"/>
      <c r="AO27" s="326"/>
    </row>
    <row r="28" ht="20.1" customHeight="1" spans="1:41">
      <c r="A28" s="320" t="s">
        <v>919</v>
      </c>
      <c r="B28" s="321" t="s">
        <v>919</v>
      </c>
      <c r="C28" s="298">
        <f>单位!F53/10000</f>
        <v>1</v>
      </c>
      <c r="D28" s="298"/>
      <c r="E28" s="298"/>
      <c r="F28" s="299">
        <f>单位!I53</f>
        <v>0</v>
      </c>
      <c r="G28" s="309"/>
      <c r="H28" s="309"/>
      <c r="I28" s="309"/>
      <c r="J28" s="299">
        <f>单位!Y53</f>
        <v>1</v>
      </c>
      <c r="K28" s="309"/>
      <c r="L28" s="309"/>
      <c r="M28" s="309"/>
      <c r="N28" s="309">
        <f>SUMIF(开!$AU$8:$AU$213,B28,开!$BQ$8:$BQ$213)+SUMIF('续 '!$AM$8:$AM$198,B28,'续 '!$BO$8:$BO$198)+SUMIF(竣!$AM$8:$AM$130,B28,竣!$BO$8:$BO$130)</f>
        <v>0</v>
      </c>
      <c r="O28" s="309">
        <f>SUMIF(开!$AU$8:$AU$213,B28,开!$Z$8:$Z$213)+SUMIF('续 '!AM$8:AM$198,B28,'续 '!$R$8:$R$198)+SUMIF(竣!AM$8:AM$130,B28,竣!$R$8:$R$130)</f>
        <v>0</v>
      </c>
      <c r="P28" s="299">
        <f t="shared" si="1"/>
        <v>0</v>
      </c>
      <c r="Q28" s="309">
        <f>SUMIF(开!$AU$8:$AU$213,B28,开!$AA$8:$AA$213)+SUMIF('续 '!AM$8:AM$198,B28,'续 '!$S$8:$S$198)+SUMIF(竣!AM$8:AM$130,B28,竣!$S$8:$S$130)</f>
        <v>0</v>
      </c>
      <c r="R28" s="309">
        <f>SUMIF(开!$AU$8:$AU$213,B28,开!$AB$8:$AB$213)+SUMIF('续 '!AM$8:AM$198,B28,'续 '!$T$8:$T$198)+SUMIF(竣!AM$8:AM$130,B28,竣!$T$8:$T$130)</f>
        <v>0</v>
      </c>
      <c r="S28" s="309">
        <f>SUMIF(开!$AU$8:$AU$213,B28,开!$BS$8:$BS$213)+SUMIF('续 '!AM$8:AM$198,B28,'续 '!$BQ$8:$BQ$198)+SUMIF(竣!AM$8:AM$130,B28,竣!$BQ$8:$BQ$130)</f>
        <v>0</v>
      </c>
      <c r="T28" s="309">
        <f>SUMIF(开!$AU$8:$AU$213,B28,开!$AC$8:$AC$213)+SUMIF('续 '!AM$8:AM$198,B28,'续 '!$U$8:$U$198)+SUMIF(竣!AM$8:AM$130,B28,竣!$U$8:$U$130)</f>
        <v>0</v>
      </c>
      <c r="U28" s="299">
        <f t="shared" si="3"/>
        <v>0</v>
      </c>
      <c r="V28" s="309">
        <f>SUMIF(开!$AU$8:$AU$213,B28,开!$AD$8:$AD$213)+SUMIF('续 '!AM$8:AM$198,B28,'续 '!$V$8:$V$198)+SUMIF(竣!AM$8:AM$130,B28,竣!$V$8:$V$130)</f>
        <v>0</v>
      </c>
      <c r="W28" s="309">
        <f>SUMIF(开!$AU$8:$AU$213,B28,开!$AE$8:$AE$213)+SUMIF('续 '!AM$8:AM$198,B28,'续 '!$W$8:$W$198)+SUMIF(竣!AM$8:AM$130,B28,竣!$W$8:$W$130)</f>
        <v>0</v>
      </c>
      <c r="X28" s="309">
        <f>SUMIF(开!$AU$8:$AU$213,B28,开!$BR$8:$BR$213)+SUMIF('续 '!AM$8:AM$198,B28,'续 '!$BP$8:$BP$198)+SUMIF(竣!AM$8:AM$130,B28,竣!$BP$8:$BP$130)</f>
        <v>0</v>
      </c>
      <c r="Y28" s="309">
        <f>SUMIF(开!$AU$8:$AU$213,B28,开!$AF$8:$AF$213)+SUMIF('续 '!AM$8:AM$198,B28,'续 '!$X$8:$X$198)+SUMIF(竣!AM$8:AM$130,B28,竣!$X$8:$X$130)</f>
        <v>0</v>
      </c>
      <c r="Z28" s="299">
        <f t="shared" si="4"/>
        <v>0</v>
      </c>
      <c r="AA28" s="309">
        <f>SUMIF(开!$AU$8:$AU$213,B28,开!$AG$8:$AG$213)+SUMIF('续 '!AM$8:AM$198,B28,'续 '!$Y$8:$Y$198)+SUMIF(竣!AM$8:AM$130,B28,竣!$Y$8:$Y$130)</f>
        <v>0</v>
      </c>
      <c r="AB28" s="309">
        <f>SUMIF(开!$AU$8:$AU$213,B28,开!$AH$8:$AH$213)+SUMIF('续 '!AM$8:AM$198,B28,'续 '!$Z$8:$Z$198)+SUMIF(竣!AM$8:AM$130,B28,竣!$Z$8:$Z$130)</f>
        <v>0</v>
      </c>
      <c r="AC28" s="309">
        <f>SUMIF(开!$AU$8:$AU$213,B28,开!$BT$8:$BT$213)+SUMIF('续 '!AM$8:AM$198,B28,'续 '!$BR$8:$BR$198)+SUMIF(竣!AM$8:AM$130,B28,竣!$BR$8:$BR$130)</f>
        <v>0</v>
      </c>
      <c r="AD28" s="309">
        <f>SUMIF(开!$AU$8:$AU$213,B28,开!$AI$8:$AI$213)+SUMIF('续 '!AM$8:AM$198,B28,'续 '!$AA$8:$AA$198)+SUMIF(竣!AM$8:AM$130,B28,竣!$AA$8:$AA$130)</f>
        <v>0</v>
      </c>
      <c r="AE28" s="299">
        <f t="shared" si="5"/>
        <v>0</v>
      </c>
      <c r="AF28" s="309">
        <f>SUMIF(开!$AU$8:$AU$213,B28,开!$AJ$8:$AJ$213)+SUMIF('续 '!AM$8:AM$198,B28,'续 '!$AB$8:$AB$198)+SUMIF(竣!AM$8:AM$130,B28,竣!$AB$8:$AB$130)</f>
        <v>0</v>
      </c>
      <c r="AG28" s="309">
        <f>SUMIF(开!$AU$8:$AU$213,B28,开!$AK$8:$AK$213)+SUMIF('续 '!AM$8:AM$198,B28,'续 '!$AC$8:$AC$198)+SUMIF(竣!AM$8:AM$130,B28,竣!$AC$8:$AC$130)</f>
        <v>0</v>
      </c>
      <c r="AH28" s="309">
        <f>SUMIF(开!$AU$8:$AU$213,B28,开!$BU$8:$BU$213)+SUMIF('续 '!AM$8:AM$198,B28,'续 '!$BS$8:$BS$198)+SUMIF(竣!AM$8:AM$130,B28,竣!$BS$8:$BS$130)</f>
        <v>0</v>
      </c>
      <c r="AI28" s="309">
        <f t="shared" si="6"/>
        <v>1</v>
      </c>
      <c r="AJ28" s="309">
        <f>(SUMIF(开!$AU$8:$AU$213,B28,开!$AL$8:$AL$213)+SUMIF('续 '!AM$8:AM$198,B28,'续 '!$AD$8:$AD$198)+SUMIF(竣!AM$8:AM$130,B28,竣!$AD$8:$AD$130))/10000</f>
        <v>0</v>
      </c>
      <c r="AK28" s="299">
        <f t="shared" si="7"/>
        <v>1</v>
      </c>
      <c r="AL28" s="309">
        <f>(SUMIF(开!$AU$8:$AU$213,B28,开!$AO$8:$AO$213)+SUMIF('续 '!AM$8:AM$198,B28,'续 '!$AF$8:$AF$198)+SUMIF(竣!AM$8:AM$130,B28,竣!$AG$8:$AG$130))/10000</f>
        <v>0</v>
      </c>
      <c r="AM28" s="309">
        <f>(SUMIF(开!$AU$8:$AU$213,B28,开!$AP$8:$AP$213)+SUMIF('续 '!AM$8:AM$198,B28,'续 '!$AH$8:$AH$198)+SUMIF(竣!AM$8:AM$130,B28,竣!$AH$8:$AH$130))/10000</f>
        <v>0</v>
      </c>
      <c r="AN28" s="327"/>
      <c r="AO28" s="327"/>
    </row>
    <row r="29" ht="20.1" customHeight="1" spans="1:41">
      <c r="A29" s="320" t="s">
        <v>924</v>
      </c>
      <c r="B29" s="321" t="s">
        <v>924</v>
      </c>
      <c r="C29" s="298">
        <f>单位!F54/10000</f>
        <v>0.2401</v>
      </c>
      <c r="D29" s="298"/>
      <c r="E29" s="298"/>
      <c r="F29" s="299">
        <f>单位!I54</f>
        <v>0</v>
      </c>
      <c r="G29" s="309"/>
      <c r="H29" s="309"/>
      <c r="I29" s="309"/>
      <c r="J29" s="299">
        <f>单位!Y54</f>
        <v>1</v>
      </c>
      <c r="K29" s="309"/>
      <c r="L29" s="309"/>
      <c r="M29" s="309"/>
      <c r="N29" s="309">
        <f>SUMIF(开!$AU$8:$AU$213,B29,开!$BQ$8:$BQ$213)+SUMIF('续 '!$AM$8:$AM$198,B29,'续 '!$BO$8:$BO$198)+SUMIF(竣!$AM$8:$AM$130,B29,竣!$BO$8:$BO$130)</f>
        <v>1</v>
      </c>
      <c r="O29" s="309">
        <f>SUMIF(开!$AU$8:$AU$213,B29,开!$Z$8:$Z$213)+SUMIF('续 '!AM$8:AM$198,B29,'续 '!$R$8:$R$198)+SUMIF(竣!AM$8:AM$130,B29,竣!$R$8:$R$130)</f>
        <v>10</v>
      </c>
      <c r="P29" s="299">
        <f t="shared" si="1"/>
        <v>10</v>
      </c>
      <c r="Q29" s="309">
        <f>SUMIF(开!$AU$8:$AU$213,B29,开!$AA$8:$AA$213)+SUMIF('续 '!AM$8:AM$198,B29,'续 '!$S$8:$S$198)+SUMIF(竣!AM$8:AM$130,B29,竣!$S$8:$S$130)</f>
        <v>10</v>
      </c>
      <c r="R29" s="309">
        <f>SUMIF(开!$AU$8:$AU$213,B29,开!$AB$8:$AB$213)+SUMIF('续 '!AM$8:AM$198,B29,'续 '!$T$8:$T$198)+SUMIF(竣!AM$8:AM$130,B29,竣!$T$8:$T$130)</f>
        <v>0</v>
      </c>
      <c r="S29" s="309">
        <f>SUMIF(开!$AU$8:$AU$213,B29,开!$BS$8:$BS$213)+SUMIF('续 '!AM$8:AM$198,B29,'续 '!$BQ$8:$BQ$198)+SUMIF(竣!AM$8:AM$130,B29,竣!$BQ$8:$BQ$130)</f>
        <v>0</v>
      </c>
      <c r="T29" s="309">
        <f>SUMIF(开!$AU$8:$AU$213,B29,开!$AC$8:$AC$213)+SUMIF('续 '!AM$8:AM$198,B29,'续 '!$U$8:$U$198)+SUMIF(竣!AM$8:AM$130,B29,竣!$U$8:$U$130)</f>
        <v>0</v>
      </c>
      <c r="U29" s="299">
        <f t="shared" si="3"/>
        <v>0</v>
      </c>
      <c r="V29" s="309">
        <f>SUMIF(开!$AU$8:$AU$213,B29,开!$AD$8:$AD$213)+SUMIF('续 '!AM$8:AM$198,B29,'续 '!$V$8:$V$198)+SUMIF(竣!AM$8:AM$130,B29,竣!$V$8:$V$130)</f>
        <v>0</v>
      </c>
      <c r="W29" s="309">
        <f>SUMIF(开!$AU$8:$AU$213,B29,开!$AE$8:$AE$213)+SUMIF('续 '!AM$8:AM$198,B29,'续 '!$W$8:$W$198)+SUMIF(竣!AM$8:AM$130,B29,竣!$W$8:$W$130)</f>
        <v>0</v>
      </c>
      <c r="X29" s="309">
        <f>SUMIF(开!$AU$8:$AU$213,B29,开!$BR$8:$BR$213)+SUMIF('续 '!AM$8:AM$198,B29,'续 '!$BP$8:$BP$198)+SUMIF(竣!AM$8:AM$130,B29,竣!$BP$8:$BP$130)</f>
        <v>0</v>
      </c>
      <c r="Y29" s="309">
        <f>SUMIF(开!$AU$8:$AU$213,B29,开!$AF$8:$AF$213)+SUMIF('续 '!AM$8:AM$198,B29,'续 '!$X$8:$X$198)+SUMIF(竣!AM$8:AM$130,B29,竣!$X$8:$X$130)</f>
        <v>0</v>
      </c>
      <c r="Z29" s="299">
        <f t="shared" si="4"/>
        <v>0</v>
      </c>
      <c r="AA29" s="309">
        <f>SUMIF(开!$AU$8:$AU$213,B29,开!$AG$8:$AG$213)+SUMIF('续 '!AM$8:AM$198,B29,'续 '!$Y$8:$Y$198)+SUMIF(竣!AM$8:AM$130,B29,竣!$Y$8:$Y$130)</f>
        <v>0</v>
      </c>
      <c r="AB29" s="309">
        <f>SUMIF(开!$AU$8:$AU$213,B29,开!$AH$8:$AH$213)+SUMIF('续 '!AM$8:AM$198,B29,'续 '!$Z$8:$Z$198)+SUMIF(竣!AM$8:AM$130,B29,竣!$Z$8:$Z$130)</f>
        <v>0</v>
      </c>
      <c r="AC29" s="309">
        <f>SUMIF(开!$AU$8:$AU$213,B29,开!$BT$8:$BT$213)+SUMIF('续 '!AM$8:AM$198,B29,'续 '!$BR$8:$BR$198)+SUMIF(竣!AM$8:AM$130,B29,竣!$BR$8:$BR$130)</f>
        <v>0</v>
      </c>
      <c r="AD29" s="309">
        <f>SUMIF(开!$AU$8:$AU$213,B29,开!$AI$8:$AI$213)+SUMIF('续 '!AM$8:AM$198,B29,'续 '!$AA$8:$AA$198)+SUMIF(竣!AM$8:AM$130,B29,竣!$AA$8:$AA$130)</f>
        <v>0</v>
      </c>
      <c r="AE29" s="299">
        <f t="shared" si="5"/>
        <v>0</v>
      </c>
      <c r="AF29" s="309">
        <f>SUMIF(开!$AU$8:$AU$213,B29,开!$AJ$8:$AJ$213)+SUMIF('续 '!AM$8:AM$198,B29,'续 '!$AB$8:$AB$198)+SUMIF(竣!AM$8:AM$130,B29,竣!$AB$8:$AB$130)</f>
        <v>0</v>
      </c>
      <c r="AG29" s="309">
        <f>SUMIF(开!$AU$8:$AU$213,B29,开!$AK$8:$AK$213)+SUMIF('续 '!AM$8:AM$198,B29,'续 '!$AC$8:$AC$198)+SUMIF(竣!AM$8:AM$130,B29,竣!$AC$8:$AC$130)</f>
        <v>0</v>
      </c>
      <c r="AH29" s="309">
        <f>SUMIF(开!$AU$8:$AU$213,B29,开!$BU$8:$BU$213)+SUMIF('续 '!AM$8:AM$198,B29,'续 '!$BS$8:$BS$198)+SUMIF(竣!AM$8:AM$130,B29,竣!$BS$8:$BS$130)</f>
        <v>1</v>
      </c>
      <c r="AI29" s="309">
        <f t="shared" si="6"/>
        <v>0.2401</v>
      </c>
      <c r="AJ29" s="309">
        <f>(SUMIF(开!$AU$8:$AU$213,B29,开!$AL$8:$AL$213)+SUMIF('续 '!AM$8:AM$198,B29,'续 '!$AD$8:$AD$198)+SUMIF(竣!AM$8:AM$130,B29,竣!$AD$8:$AD$130))/10000</f>
        <v>0.2401</v>
      </c>
      <c r="AK29" s="299">
        <f t="shared" si="7"/>
        <v>0.1</v>
      </c>
      <c r="AL29" s="309">
        <f>(SUMIF(开!$AU$8:$AU$213,B29,开!$AO$8:$AO$213)+SUMIF('续 '!AM$8:AM$198,B29,'续 '!$AF$8:$AF$198)+SUMIF(竣!AM$8:AM$130,B29,竣!$AG$8:$AG$130))/10000</f>
        <v>0.1</v>
      </c>
      <c r="AM29" s="309">
        <f>(SUMIF(开!$AU$8:$AU$213,B29,开!$AP$8:$AP$213)+SUMIF('续 '!AM$8:AM$198,B29,'续 '!$AH$8:$AH$198)+SUMIF(竣!AM$8:AM$130,B29,竣!$AH$8:$AH$130))/10000</f>
        <v>0.1401</v>
      </c>
      <c r="AN29" s="327"/>
      <c r="AO29" s="327"/>
    </row>
    <row r="30" ht="20.1" customHeight="1" spans="1:41">
      <c r="A30" s="320" t="s">
        <v>749</v>
      </c>
      <c r="B30" s="321" t="s">
        <v>749</v>
      </c>
      <c r="C30" s="298">
        <f>单位!F55/10000</f>
        <v>1</v>
      </c>
      <c r="D30" s="298"/>
      <c r="E30" s="298"/>
      <c r="F30" s="299">
        <f>单位!I55</f>
        <v>0</v>
      </c>
      <c r="G30" s="309"/>
      <c r="H30" s="309"/>
      <c r="I30" s="309"/>
      <c r="J30" s="299">
        <f>单位!Y55</f>
        <v>0</v>
      </c>
      <c r="K30" s="309"/>
      <c r="L30" s="309"/>
      <c r="M30" s="309"/>
      <c r="N30" s="309">
        <f>SUMIF(开!$AU$8:$AU$213,B30,开!$BQ$8:$BQ$213)+SUMIF('续 '!$AM$8:$AM$198,B30,'续 '!$BO$8:$BO$198)+SUMIF(竣!$AM$8:$AM$130,B30,竣!$BO$8:$BO$130)</f>
        <v>0</v>
      </c>
      <c r="O30" s="309">
        <f>SUMIF(开!$AU$8:$AU$213,B30,开!$Z$8:$Z$213)+SUMIF('续 '!AM$8:AM$198,B30,'续 '!$R$8:$R$198)+SUMIF(竣!AM$8:AM$130,B30,竣!$R$8:$R$130)</f>
        <v>0</v>
      </c>
      <c r="P30" s="299">
        <f t="shared" si="1"/>
        <v>0</v>
      </c>
      <c r="Q30" s="309">
        <f>SUMIF(开!$AU$8:$AU$213,B30,开!$AA$8:$AA$213)+SUMIF('续 '!AM$8:AM$198,B30,'续 '!$S$8:$S$198)+SUMIF(竣!AM$8:AM$130,B30,竣!$S$8:$S$130)</f>
        <v>0</v>
      </c>
      <c r="R30" s="309">
        <f>SUMIF(开!$AU$8:$AU$213,B30,开!$AB$8:$AB$213)+SUMIF('续 '!AM$8:AM$198,B30,'续 '!$T$8:$T$198)+SUMIF(竣!AM$8:AM$130,B30,竣!$T$8:$T$130)</f>
        <v>0</v>
      </c>
      <c r="S30" s="309">
        <f>SUMIF(开!$AU$8:$AU$213,B30,开!$BS$8:$BS$213)+SUMIF('续 '!AM$8:AM$198,B30,'续 '!$BQ$8:$BQ$198)+SUMIF(竣!AM$8:AM$130,B30,竣!$BQ$8:$BQ$130)</f>
        <v>0</v>
      </c>
      <c r="T30" s="309">
        <f>SUMIF(开!$AU$8:$AU$213,B30,开!$AC$8:$AC$213)+SUMIF('续 '!AM$8:AM$198,B30,'续 '!$U$8:$U$198)+SUMIF(竣!AM$8:AM$130,B30,竣!$U$8:$U$130)</f>
        <v>0</v>
      </c>
      <c r="U30" s="299">
        <f t="shared" si="3"/>
        <v>0</v>
      </c>
      <c r="V30" s="309">
        <f>SUMIF(开!$AU$8:$AU$213,B30,开!$AD$8:$AD$213)+SUMIF('续 '!AM$8:AM$198,B30,'续 '!$V$8:$V$198)+SUMIF(竣!AM$8:AM$130,B30,竣!$V$8:$V$130)</f>
        <v>0</v>
      </c>
      <c r="W30" s="309">
        <f>SUMIF(开!$AU$8:$AU$213,B30,开!$AE$8:$AE$213)+SUMIF('续 '!AM$8:AM$198,B30,'续 '!$W$8:$W$198)+SUMIF(竣!AM$8:AM$130,B30,竣!$W$8:$W$130)</f>
        <v>0</v>
      </c>
      <c r="X30" s="309">
        <f>SUMIF(开!$AU$8:$AU$213,B30,开!$BR$8:$BR$213)+SUMIF('续 '!AM$8:AM$198,B30,'续 '!$BP$8:$BP$198)+SUMIF(竣!AM$8:AM$130,B30,竣!$BP$8:$BP$130)</f>
        <v>0</v>
      </c>
      <c r="Y30" s="309">
        <f>SUMIF(开!$AU$8:$AU$213,B30,开!$AF$8:$AF$213)+SUMIF('续 '!AM$8:AM$198,B30,'续 '!$X$8:$X$198)+SUMIF(竣!AM$8:AM$130,B30,竣!$X$8:$X$130)</f>
        <v>0</v>
      </c>
      <c r="Z30" s="299">
        <f t="shared" si="4"/>
        <v>0</v>
      </c>
      <c r="AA30" s="309">
        <f>SUMIF(开!$AU$8:$AU$213,B30,开!$AG$8:$AG$213)+SUMIF('续 '!AM$8:AM$198,B30,'续 '!$Y$8:$Y$198)+SUMIF(竣!AM$8:AM$130,B30,竣!$Y$8:$Y$130)</f>
        <v>0</v>
      </c>
      <c r="AB30" s="309">
        <f>SUMIF(开!$AU$8:$AU$213,B30,开!$AH$8:$AH$213)+SUMIF('续 '!AM$8:AM$198,B30,'续 '!$Z$8:$Z$198)+SUMIF(竣!AM$8:AM$130,B30,竣!$Z$8:$Z$130)</f>
        <v>0</v>
      </c>
      <c r="AC30" s="309">
        <f>SUMIF(开!$AU$8:$AU$213,B30,开!$BT$8:$BT$213)+SUMIF('续 '!AM$8:AM$198,B30,'续 '!$BR$8:$BR$198)+SUMIF(竣!AM$8:AM$130,B30,竣!$BR$8:$BR$130)</f>
        <v>0</v>
      </c>
      <c r="AD30" s="309">
        <f>SUMIF(开!$AU$8:$AU$213,B30,开!$AI$8:$AI$213)+SUMIF('续 '!AM$8:AM$198,B30,'续 '!$AA$8:$AA$198)+SUMIF(竣!AM$8:AM$130,B30,竣!$AA$8:$AA$130)</f>
        <v>0</v>
      </c>
      <c r="AE30" s="299">
        <f t="shared" si="5"/>
        <v>0</v>
      </c>
      <c r="AF30" s="309">
        <f>SUMIF(开!$AU$8:$AU$213,B30,开!$AJ$8:$AJ$213)+SUMIF('续 '!AM$8:AM$198,B30,'续 '!$AB$8:$AB$198)+SUMIF(竣!AM$8:AM$130,B30,竣!$AB$8:$AB$130)</f>
        <v>0</v>
      </c>
      <c r="AG30" s="309">
        <f>SUMIF(开!$AU$8:$AU$213,B30,开!$AK$8:$AK$213)+SUMIF('续 '!AM$8:AM$198,B30,'续 '!$AC$8:$AC$198)+SUMIF(竣!AM$8:AM$130,B30,竣!$AC$8:$AC$130)</f>
        <v>0</v>
      </c>
      <c r="AH30" s="309">
        <f>SUMIF(开!$AU$8:$AU$213,B30,开!$BU$8:$BU$213)+SUMIF('续 '!AM$8:AM$198,B30,'续 '!$BS$8:$BS$198)+SUMIF(竣!AM$8:AM$130,B30,竣!$BS$8:$BS$130)</f>
        <v>0</v>
      </c>
      <c r="AI30" s="309">
        <f t="shared" si="6"/>
        <v>1</v>
      </c>
      <c r="AJ30" s="309">
        <f>(SUMIF(开!$AU$8:$AU$213,B30,开!$AL$8:$AL$213)+SUMIF('续 '!AM$8:AM$198,B30,'续 '!$AD$8:$AD$198)+SUMIF(竣!AM$8:AM$130,B30,竣!$AD$8:$AD$130))/10000</f>
        <v>0</v>
      </c>
      <c r="AK30" s="299">
        <f t="shared" si="7"/>
        <v>1</v>
      </c>
      <c r="AL30" s="309">
        <f>(SUMIF(开!$AU$8:$AU$213,B30,开!$AO$8:$AO$213)+SUMIF('续 '!AM$8:AM$198,B30,'续 '!$AF$8:$AF$198)+SUMIF(竣!AM$8:AM$130,B30,竣!$AG$8:$AG$130))/10000</f>
        <v>0</v>
      </c>
      <c r="AM30" s="309">
        <f>(SUMIF(开!$AU$8:$AU$213,B30,开!$AP$8:$AP$213)+SUMIF('续 '!AM$8:AM$198,B30,'续 '!$AH$8:$AH$198)+SUMIF(竣!AM$8:AM$130,B30,竣!$AH$8:$AH$130))/10000</f>
        <v>0</v>
      </c>
      <c r="AN30" s="327"/>
      <c r="AO30" s="327"/>
    </row>
    <row r="31" ht="20.1" customHeight="1" spans="1:41">
      <c r="A31" s="320" t="s">
        <v>464</v>
      </c>
      <c r="B31" s="321" t="s">
        <v>464</v>
      </c>
      <c r="C31" s="298">
        <f>单位!F56/10000</f>
        <v>1.57</v>
      </c>
      <c r="D31" s="298"/>
      <c r="E31" s="298"/>
      <c r="F31" s="299">
        <f>单位!I56</f>
        <v>4</v>
      </c>
      <c r="G31" s="309"/>
      <c r="H31" s="309"/>
      <c r="I31" s="309"/>
      <c r="J31" s="299">
        <f>单位!Y56</f>
        <v>0</v>
      </c>
      <c r="K31" s="309"/>
      <c r="L31" s="309"/>
      <c r="M31" s="309"/>
      <c r="N31" s="309">
        <f>SUMIF(开!$AU$8:$AU$213,B31,开!$BQ$8:$BQ$213)+SUMIF('续 '!$AM$8:$AM$198,B31,'续 '!$BO$8:$BO$198)+SUMIF(竣!$AM$8:$AM$130,B31,竣!$BO$8:$BO$130)</f>
        <v>2</v>
      </c>
      <c r="O31" s="309">
        <f>SUMIF(开!$AU$8:$AU$213,B31,开!$Z$8:$Z$213)+SUMIF('续 '!AM$8:AM$198,B31,'续 '!$R$8:$R$198)+SUMIF(竣!AM$8:AM$130,B31,竣!$R$8:$R$130)</f>
        <v>214.02</v>
      </c>
      <c r="P31" s="299">
        <f t="shared" si="1"/>
        <v>154.02</v>
      </c>
      <c r="Q31" s="309">
        <f>SUMIF(开!$AU$8:$AU$213,B31,开!$AA$8:$AA$213)+SUMIF('续 '!AM$8:AM$198,B31,'续 '!$S$8:$S$198)+SUMIF(竣!AM$8:AM$130,B31,竣!$S$8:$S$130)</f>
        <v>154.02</v>
      </c>
      <c r="R31" s="309">
        <f>SUMIF(开!$AU$8:$AU$213,B31,开!$AB$8:$AB$213)+SUMIF('续 '!AM$8:AM$198,B31,'续 '!$T$8:$T$198)+SUMIF(竣!AM$8:AM$130,B31,竣!$T$8:$T$130)</f>
        <v>60</v>
      </c>
      <c r="S31" s="309">
        <f>SUMIF(开!$AU$8:$AU$213,B31,开!$BS$8:$BS$213)+SUMIF('续 '!AM$8:AM$198,B31,'续 '!$BQ$8:$BQ$198)+SUMIF(竣!AM$8:AM$130,B31,竣!$BQ$8:$BQ$130)</f>
        <v>1</v>
      </c>
      <c r="T31" s="309">
        <f>SUMIF(开!$AU$8:$AU$213,B31,开!$AC$8:$AC$213)+SUMIF('续 '!AM$8:AM$198,B31,'续 '!$U$8:$U$198)+SUMIF(竣!AM$8:AM$130,B31,竣!$U$8:$U$130)</f>
        <v>76</v>
      </c>
      <c r="U31" s="299">
        <f t="shared" si="3"/>
        <v>0</v>
      </c>
      <c r="V31" s="309">
        <f>SUMIF(开!$AU$8:$AU$213,B31,开!$AD$8:$AD$213)+SUMIF('续 '!AM$8:AM$198,B31,'续 '!$V$8:$V$198)+SUMIF(竣!AM$8:AM$130,B31,竣!$V$8:$V$130)</f>
        <v>0</v>
      </c>
      <c r="W31" s="309">
        <f>SUMIF(开!$AU$8:$AU$213,B31,开!$AE$8:$AE$213)+SUMIF('续 '!AM$8:AM$198,B31,'续 '!$W$8:$W$198)+SUMIF(竣!AM$8:AM$130,B31,竣!$W$8:$W$130)</f>
        <v>76</v>
      </c>
      <c r="X31" s="309">
        <f>SUMIF(开!$AU$8:$AU$213,B31,开!$BR$8:$BR$213)+SUMIF('续 '!AM$8:AM$198,B31,'续 '!$BP$8:$BP$198)+SUMIF(竣!AM$8:AM$130,B31,竣!$BP$8:$BP$130)</f>
        <v>0</v>
      </c>
      <c r="Y31" s="309">
        <f>SUMIF(开!$AU$8:$AU$213,B31,开!$AF$8:$AF$213)+SUMIF('续 '!AM$8:AM$198,B31,'续 '!$X$8:$X$198)+SUMIF(竣!AM$8:AM$130,B31,竣!$X$8:$X$130)</f>
        <v>0</v>
      </c>
      <c r="Z31" s="299">
        <f t="shared" si="4"/>
        <v>0</v>
      </c>
      <c r="AA31" s="309">
        <f>SUMIF(开!$AU$8:$AU$213,B31,开!$AG$8:$AG$213)+SUMIF('续 '!AM$8:AM$198,B31,'续 '!$Y$8:$Y$198)+SUMIF(竣!AM$8:AM$130,B31,竣!$Y$8:$Y$130)</f>
        <v>0</v>
      </c>
      <c r="AB31" s="309">
        <f>SUMIF(开!$AU$8:$AU$213,B31,开!$AH$8:$AH$213)+SUMIF('续 '!AM$8:AM$198,B31,'续 '!$Z$8:$Z$198)+SUMIF(竣!AM$8:AM$130,B31,竣!$Z$8:$Z$130)</f>
        <v>0</v>
      </c>
      <c r="AC31" s="309">
        <f>SUMIF(开!$AU$8:$AU$213,B31,开!$BT$8:$BT$213)+SUMIF('续 '!AM$8:AM$198,B31,'续 '!$BR$8:$BR$198)+SUMIF(竣!AM$8:AM$130,B31,竣!$BR$8:$BR$130)</f>
        <v>0</v>
      </c>
      <c r="AD31" s="309">
        <f>SUMIF(开!$AU$8:$AU$213,B31,开!$AI$8:$AI$213)+SUMIF('续 '!AM$8:AM$198,B31,'续 '!$AA$8:$AA$198)+SUMIF(竣!AM$8:AM$130,B31,竣!$AA$8:$AA$130)</f>
        <v>0</v>
      </c>
      <c r="AE31" s="299">
        <f t="shared" si="5"/>
        <v>0</v>
      </c>
      <c r="AF31" s="309">
        <f>SUMIF(开!$AU$8:$AU$213,B31,开!$AJ$8:$AJ$213)+SUMIF('续 '!AM$8:AM$198,B31,'续 '!$AB$8:$AB$198)+SUMIF(竣!AM$8:AM$130,B31,竣!$AB$8:$AB$130)</f>
        <v>0</v>
      </c>
      <c r="AG31" s="309">
        <f>SUMIF(开!$AU$8:$AU$213,B31,开!$AK$8:$AK$213)+SUMIF('续 '!AM$8:AM$198,B31,'续 '!$AC$8:$AC$198)+SUMIF(竣!AM$8:AM$130,B31,竣!$AC$8:$AC$130)</f>
        <v>0</v>
      </c>
      <c r="AH31" s="309">
        <f>SUMIF(开!$AU$8:$AU$213,B31,开!$BU$8:$BU$213)+SUMIF('续 '!AM$8:AM$198,B31,'续 '!$BS$8:$BS$198)+SUMIF(竣!AM$8:AM$130,B31,竣!$BS$8:$BS$130)</f>
        <v>0</v>
      </c>
      <c r="AI31" s="309">
        <f t="shared" si="6"/>
        <v>1.57</v>
      </c>
      <c r="AJ31" s="309">
        <f>(SUMIF(开!$AU$8:$AU$213,B31,开!$AL$8:$AL$213)+SUMIF('续 '!AM$8:AM$198,B31,'续 '!$AD$8:$AD$198)+SUMIF(竣!AM$8:AM$130,B31,竣!$AD$8:$AD$130))/10000</f>
        <v>0</v>
      </c>
      <c r="AK31" s="299">
        <f t="shared" si="7"/>
        <v>1.37</v>
      </c>
      <c r="AL31" s="309">
        <f>(SUMIF(开!$AU$8:$AU$213,B31,开!$AO$8:$AO$213)+SUMIF('续 '!AM$8:AM$198,B31,'续 '!$AF$8:$AF$198)+SUMIF(竣!AM$8:AM$130,B31,竣!$AG$8:$AG$130))/10000</f>
        <v>0.06</v>
      </c>
      <c r="AM31" s="309">
        <f>(SUMIF(开!$AU$8:$AU$213,B31,开!$AP$8:$AP$213)+SUMIF('续 '!AM$8:AM$198,B31,'续 '!$AH$8:$AH$198)+SUMIF(竣!AM$8:AM$130,B31,竣!$AH$8:$AH$130))/10000</f>
        <v>0.2</v>
      </c>
      <c r="AN31" s="327"/>
      <c r="AO31" s="327"/>
    </row>
    <row r="32" ht="20.1" customHeight="1" spans="1:41">
      <c r="A32" s="320" t="s">
        <v>2788</v>
      </c>
      <c r="B32" s="321" t="s">
        <v>2788</v>
      </c>
      <c r="C32" s="298">
        <f>单位!F57/10000</f>
        <v>1.3</v>
      </c>
      <c r="D32" s="298"/>
      <c r="E32" s="298"/>
      <c r="F32" s="299">
        <f>单位!I57</f>
        <v>0</v>
      </c>
      <c r="G32" s="309"/>
      <c r="H32" s="309"/>
      <c r="I32" s="309"/>
      <c r="J32" s="299">
        <f>单位!Y57</f>
        <v>0</v>
      </c>
      <c r="K32" s="309"/>
      <c r="L32" s="309"/>
      <c r="M32" s="309"/>
      <c r="N32" s="309">
        <f>SUMIF(开!$AU$8:$AU$213,B32,开!$BQ$8:$BQ$213)+SUMIF('续 '!$AM$8:$AM$198,B32,'续 '!$BO$8:$BO$198)+SUMIF(竣!$AM$8:$AM$130,B32,竣!$BO$8:$BO$130)</f>
        <v>0</v>
      </c>
      <c r="O32" s="309">
        <f>SUMIF(开!$AU$8:$AU$213,B32,开!$Z$8:$Z$213)+SUMIF('续 '!AM$8:AM$198,B32,'续 '!$R$8:$R$198)+SUMIF(竣!AM$8:AM$130,B32,竣!$R$8:$R$130)</f>
        <v>0</v>
      </c>
      <c r="P32" s="299">
        <f t="shared" si="1"/>
        <v>0</v>
      </c>
      <c r="Q32" s="309">
        <f>SUMIF(开!$AU$8:$AU$213,B32,开!$AA$8:$AA$213)+SUMIF('续 '!AM$8:AM$198,B32,'续 '!$S$8:$S$198)+SUMIF(竣!AM$8:AM$130,B32,竣!$S$8:$S$130)</f>
        <v>0</v>
      </c>
      <c r="R32" s="309">
        <f>SUMIF(开!$AU$8:$AU$213,B32,开!$AB$8:$AB$213)+SUMIF('续 '!AM$8:AM$198,B32,'续 '!$T$8:$T$198)+SUMIF(竣!AM$8:AM$130,B32,竣!$T$8:$T$130)</f>
        <v>0</v>
      </c>
      <c r="S32" s="309">
        <f>SUMIF(开!$AU$8:$AU$213,B32,开!$BS$8:$BS$213)+SUMIF('续 '!AM$8:AM$198,B32,'续 '!$BQ$8:$BQ$198)+SUMIF(竣!AM$8:AM$130,B32,竣!$BQ$8:$BQ$130)</f>
        <v>0</v>
      </c>
      <c r="T32" s="309">
        <f>SUMIF(开!$AU$8:$AU$213,B32,开!$AC$8:$AC$213)+SUMIF('续 '!AM$8:AM$198,B32,'续 '!$U$8:$U$198)+SUMIF(竣!AM$8:AM$130,B32,竣!$U$8:$U$130)</f>
        <v>0</v>
      </c>
      <c r="U32" s="299">
        <f t="shared" si="3"/>
        <v>0</v>
      </c>
      <c r="V32" s="309">
        <f>SUMIF(开!$AU$8:$AU$213,B32,开!$AD$8:$AD$213)+SUMIF('续 '!AM$8:AM$198,B32,'续 '!$V$8:$V$198)+SUMIF(竣!AM$8:AM$130,B32,竣!$V$8:$V$130)</f>
        <v>0</v>
      </c>
      <c r="W32" s="309">
        <f>SUMIF(开!$AU$8:$AU$213,B32,开!$AE$8:$AE$213)+SUMIF('续 '!AM$8:AM$198,B32,'续 '!$W$8:$W$198)+SUMIF(竣!AM$8:AM$130,B32,竣!$W$8:$W$130)</f>
        <v>0</v>
      </c>
      <c r="X32" s="309">
        <f>SUMIF(开!$AU$8:$AU$213,B32,开!$BR$8:$BR$213)+SUMIF('续 '!AM$8:AM$198,B32,'续 '!$BP$8:$BP$198)+SUMIF(竣!AM$8:AM$130,B32,竣!$BP$8:$BP$130)</f>
        <v>0</v>
      </c>
      <c r="Y32" s="309">
        <f>SUMIF(开!$AU$8:$AU$213,B32,开!$AF$8:$AF$213)+SUMIF('续 '!AM$8:AM$198,B32,'续 '!$X$8:$X$198)+SUMIF(竣!AM$8:AM$130,B32,竣!$X$8:$X$130)</f>
        <v>0</v>
      </c>
      <c r="Z32" s="299">
        <f t="shared" si="4"/>
        <v>0</v>
      </c>
      <c r="AA32" s="309">
        <f>SUMIF(开!$AU$8:$AU$213,B32,开!$AG$8:$AG$213)+SUMIF('续 '!AM$8:AM$198,B32,'续 '!$Y$8:$Y$198)+SUMIF(竣!AM$8:AM$130,B32,竣!$Y$8:$Y$130)</f>
        <v>0</v>
      </c>
      <c r="AB32" s="309">
        <f>SUMIF(开!$AU$8:$AU$213,B32,开!$AH$8:$AH$213)+SUMIF('续 '!AM$8:AM$198,B32,'续 '!$Z$8:$Z$198)+SUMIF(竣!AM$8:AM$130,B32,竣!$Z$8:$Z$130)</f>
        <v>0</v>
      </c>
      <c r="AC32" s="309">
        <f>SUMIF(开!$AU$8:$AU$213,B32,开!$BT$8:$BT$213)+SUMIF('续 '!AM$8:AM$198,B32,'续 '!$BR$8:$BR$198)+SUMIF(竣!AM$8:AM$130,B32,竣!$BR$8:$BR$130)</f>
        <v>0</v>
      </c>
      <c r="AD32" s="309">
        <f>SUMIF(开!$AU$8:$AU$213,B32,开!$AI$8:$AI$213)+SUMIF('续 '!AM$8:AM$198,B32,'续 '!$AA$8:$AA$198)+SUMIF(竣!AM$8:AM$130,B32,竣!$AA$8:$AA$130)</f>
        <v>0</v>
      </c>
      <c r="AE32" s="299">
        <f t="shared" si="5"/>
        <v>0</v>
      </c>
      <c r="AF32" s="309">
        <f>SUMIF(开!$AU$8:$AU$213,B32,开!$AJ$8:$AJ$213)+SUMIF('续 '!AM$8:AM$198,B32,'续 '!$AB$8:$AB$198)+SUMIF(竣!AM$8:AM$130,B32,竣!$AB$8:$AB$130)</f>
        <v>0</v>
      </c>
      <c r="AG32" s="309">
        <f>SUMIF(开!$AU$8:$AU$213,B32,开!$AK$8:$AK$213)+SUMIF('续 '!AM$8:AM$198,B32,'续 '!$AC$8:$AC$198)+SUMIF(竣!AM$8:AM$130,B32,竣!$AC$8:$AC$130)</f>
        <v>0</v>
      </c>
      <c r="AH32" s="309">
        <f>SUMIF(开!$AU$8:$AU$213,B32,开!$BU$8:$BU$213)+SUMIF('续 '!AM$8:AM$198,B32,'续 '!$BS$8:$BS$198)+SUMIF(竣!AM$8:AM$130,B32,竣!$BS$8:$BS$130)</f>
        <v>0</v>
      </c>
      <c r="AI32" s="309">
        <f t="shared" si="6"/>
        <v>1.3</v>
      </c>
      <c r="AJ32" s="309">
        <f>(SUMIF(开!$AU$8:$AU$213,B32,开!$AL$8:$AL$213)+SUMIF('续 '!AM$8:AM$198,B32,'续 '!$AD$8:$AD$198)+SUMIF(竣!AM$8:AM$130,B32,竣!$AD$8:$AD$130))/10000</f>
        <v>0</v>
      </c>
      <c r="AK32" s="299">
        <f t="shared" si="7"/>
        <v>1.3</v>
      </c>
      <c r="AL32" s="309">
        <f>(SUMIF(开!$AU$8:$AU$213,B32,开!$AO$8:$AO$213)+SUMIF('续 '!AM$8:AM$198,B32,'续 '!$AF$8:$AF$198)+SUMIF(竣!AM$8:AM$130,B32,竣!$AG$8:$AG$130))/10000</f>
        <v>0</v>
      </c>
      <c r="AM32" s="309">
        <f>(SUMIF(开!$AU$8:$AU$213,B32,开!$AP$8:$AP$213)+SUMIF('续 '!AM$8:AM$198,B32,'续 '!$AH$8:$AH$198)+SUMIF(竣!AM$8:AM$130,B32,竣!$AH$8:$AH$130))/10000</f>
        <v>0</v>
      </c>
      <c r="AN32" s="327"/>
      <c r="AO32" s="327"/>
    </row>
    <row r="33" ht="20.1" customHeight="1" spans="1:41">
      <c r="A33" s="320" t="s">
        <v>720</v>
      </c>
      <c r="B33" s="321" t="s">
        <v>720</v>
      </c>
      <c r="C33" s="298">
        <f>单位!F58/10000</f>
        <v>0.25</v>
      </c>
      <c r="D33" s="298"/>
      <c r="E33" s="298"/>
      <c r="F33" s="299">
        <f>单位!I58</f>
        <v>0</v>
      </c>
      <c r="G33" s="309"/>
      <c r="H33" s="309"/>
      <c r="I33" s="309"/>
      <c r="J33" s="299">
        <f>单位!Y58</f>
        <v>0</v>
      </c>
      <c r="K33" s="309"/>
      <c r="L33" s="309"/>
      <c r="M33" s="309"/>
      <c r="N33" s="309">
        <f>SUMIF(开!$AU$8:$AU$213,B33,开!$BQ$8:$BQ$213)+SUMIF('续 '!$AM$8:$AM$198,B33,'续 '!$BO$8:$BO$198)+SUMIF(竣!$AM$8:$AM$130,B33,竣!$BO$8:$BO$130)</f>
        <v>0</v>
      </c>
      <c r="O33" s="309">
        <f>SUMIF(开!$AU$8:$AU$213,B33,开!$Z$8:$Z$213)+SUMIF('续 '!AM$8:AM$198,B33,'续 '!$R$8:$R$198)+SUMIF(竣!AM$8:AM$130,B33,竣!$R$8:$R$130)</f>
        <v>0</v>
      </c>
      <c r="P33" s="299">
        <f t="shared" si="1"/>
        <v>0</v>
      </c>
      <c r="Q33" s="309">
        <f>SUMIF(开!$AU$8:$AU$213,B33,开!$AA$8:$AA$213)+SUMIF('续 '!AM$8:AM$198,B33,'续 '!$S$8:$S$198)+SUMIF(竣!AM$8:AM$130,B33,竣!$S$8:$S$130)</f>
        <v>0</v>
      </c>
      <c r="R33" s="309">
        <f>SUMIF(开!$AU$8:$AU$213,B33,开!$AB$8:$AB$213)+SUMIF('续 '!AM$8:AM$198,B33,'续 '!$T$8:$T$198)+SUMIF(竣!AM$8:AM$130,B33,竣!$T$8:$T$130)</f>
        <v>0</v>
      </c>
      <c r="S33" s="309">
        <f>SUMIF(开!$AU$8:$AU$213,B33,开!$BS$8:$BS$213)+SUMIF('续 '!AM$8:AM$198,B33,'续 '!$BQ$8:$BQ$198)+SUMIF(竣!AM$8:AM$130,B33,竣!$BQ$8:$BQ$130)</f>
        <v>0</v>
      </c>
      <c r="T33" s="309">
        <f>SUMIF(开!$AU$8:$AU$213,B33,开!$AC$8:$AC$213)+SUMIF('续 '!AM$8:AM$198,B33,'续 '!$U$8:$U$198)+SUMIF(竣!AM$8:AM$130,B33,竣!$U$8:$U$130)</f>
        <v>0</v>
      </c>
      <c r="U33" s="299">
        <f t="shared" si="3"/>
        <v>0</v>
      </c>
      <c r="V33" s="309">
        <f>SUMIF(开!$AU$8:$AU$213,B33,开!$AD$8:$AD$213)+SUMIF('续 '!AM$8:AM$198,B33,'续 '!$V$8:$V$198)+SUMIF(竣!AM$8:AM$130,B33,竣!$V$8:$V$130)</f>
        <v>0</v>
      </c>
      <c r="W33" s="309">
        <f>SUMIF(开!$AU$8:$AU$213,B33,开!$AE$8:$AE$213)+SUMIF('续 '!AM$8:AM$198,B33,'续 '!$W$8:$W$198)+SUMIF(竣!AM$8:AM$130,B33,竣!$W$8:$W$130)</f>
        <v>0</v>
      </c>
      <c r="X33" s="309">
        <f>SUMIF(开!$AU$8:$AU$213,B33,开!$BR$8:$BR$213)+SUMIF('续 '!AM$8:AM$198,B33,'续 '!$BP$8:$BP$198)+SUMIF(竣!AM$8:AM$130,B33,竣!$BP$8:$BP$130)</f>
        <v>0</v>
      </c>
      <c r="Y33" s="309">
        <f>SUMIF(开!$AU$8:$AU$213,B33,开!$AF$8:$AF$213)+SUMIF('续 '!AM$8:AM$198,B33,'续 '!$X$8:$X$198)+SUMIF(竣!AM$8:AM$130,B33,竣!$X$8:$X$130)</f>
        <v>0</v>
      </c>
      <c r="Z33" s="299">
        <f t="shared" si="4"/>
        <v>0</v>
      </c>
      <c r="AA33" s="309">
        <f>SUMIF(开!$AU$8:$AU$213,B33,开!$AG$8:$AG$213)+SUMIF('续 '!AM$8:AM$198,B33,'续 '!$Y$8:$Y$198)+SUMIF(竣!AM$8:AM$130,B33,竣!$Y$8:$Y$130)</f>
        <v>0</v>
      </c>
      <c r="AB33" s="309">
        <f>SUMIF(开!$AU$8:$AU$213,B33,开!$AH$8:$AH$213)+SUMIF('续 '!AM$8:AM$198,B33,'续 '!$Z$8:$Z$198)+SUMIF(竣!AM$8:AM$130,B33,竣!$Z$8:$Z$130)</f>
        <v>0</v>
      </c>
      <c r="AC33" s="309">
        <f>SUMIF(开!$AU$8:$AU$213,B33,开!$BT$8:$BT$213)+SUMIF('续 '!AM$8:AM$198,B33,'续 '!$BR$8:$BR$198)+SUMIF(竣!AM$8:AM$130,B33,竣!$BR$8:$BR$130)</f>
        <v>0</v>
      </c>
      <c r="AD33" s="309">
        <f>SUMIF(开!$AU$8:$AU$213,B33,开!$AI$8:$AI$213)+SUMIF('续 '!AM$8:AM$198,B33,'续 '!$AA$8:$AA$198)+SUMIF(竣!AM$8:AM$130,B33,竣!$AA$8:$AA$130)</f>
        <v>0</v>
      </c>
      <c r="AE33" s="299">
        <f t="shared" si="5"/>
        <v>0</v>
      </c>
      <c r="AF33" s="309">
        <f>SUMIF(开!$AU$8:$AU$213,B33,开!$AJ$8:$AJ$213)+SUMIF('续 '!AM$8:AM$198,B33,'续 '!$AB$8:$AB$198)+SUMIF(竣!AM$8:AM$130,B33,竣!$AB$8:$AB$130)</f>
        <v>0</v>
      </c>
      <c r="AG33" s="309">
        <f>SUMIF(开!$AU$8:$AU$213,B33,开!$AK$8:$AK$213)+SUMIF('续 '!AM$8:AM$198,B33,'续 '!$AC$8:$AC$198)+SUMIF(竣!AM$8:AM$130,B33,竣!$AC$8:$AC$130)</f>
        <v>0</v>
      </c>
      <c r="AH33" s="309">
        <f>SUMIF(开!$AU$8:$AU$213,B33,开!$BU$8:$BU$213)+SUMIF('续 '!AM$8:AM$198,B33,'续 '!$BS$8:$BS$198)+SUMIF(竣!AM$8:AM$130,B33,竣!$BS$8:$BS$130)</f>
        <v>0</v>
      </c>
      <c r="AI33" s="309">
        <f t="shared" si="6"/>
        <v>0.25</v>
      </c>
      <c r="AJ33" s="309">
        <f>(SUMIF(开!$AU$8:$AU$213,B33,开!$AL$8:$AL$213)+SUMIF('续 '!AM$8:AM$198,B33,'续 '!$AD$8:$AD$198)+SUMIF(竣!AM$8:AM$130,B33,竣!$AD$8:$AD$130))/10000</f>
        <v>0</v>
      </c>
      <c r="AK33" s="299">
        <f t="shared" si="7"/>
        <v>0.25</v>
      </c>
      <c r="AL33" s="309">
        <f>(SUMIF(开!$AU$8:$AU$213,B33,开!$AO$8:$AO$213)+SUMIF('续 '!AM$8:AM$198,B33,'续 '!$AF$8:$AF$198)+SUMIF(竣!AM$8:AM$130,B33,竣!$AG$8:$AG$130))/10000</f>
        <v>0</v>
      </c>
      <c r="AM33" s="309">
        <f>(SUMIF(开!$AU$8:$AU$213,B33,开!$AP$8:$AP$213)+SUMIF('续 '!AM$8:AM$198,B33,'续 '!$AH$8:$AH$198)+SUMIF(竣!AM$8:AM$130,B33,竣!$AH$8:$AH$130))/10000</f>
        <v>0</v>
      </c>
      <c r="AN33" s="327"/>
      <c r="AO33" s="327"/>
    </row>
    <row r="34" ht="20.1" customHeight="1" spans="1:41">
      <c r="A34" s="320" t="s">
        <v>2768</v>
      </c>
      <c r="B34" s="321" t="s">
        <v>2768</v>
      </c>
      <c r="C34" s="298">
        <f>单位!F59/10000</f>
        <v>0</v>
      </c>
      <c r="D34" s="298"/>
      <c r="E34" s="298"/>
      <c r="F34" s="299">
        <f>单位!I59</f>
        <v>0</v>
      </c>
      <c r="G34" s="309"/>
      <c r="H34" s="309"/>
      <c r="I34" s="309"/>
      <c r="J34" s="299">
        <f>单位!Y59</f>
        <v>0</v>
      </c>
      <c r="K34" s="309"/>
      <c r="L34" s="309"/>
      <c r="M34" s="309"/>
      <c r="N34" s="309">
        <f>SUMIF(开!$AU$8:$AU$213,B34,开!$BQ$8:$BQ$213)+SUMIF('续 '!$AM$8:$AM$198,B34,'续 '!$BO$8:$BO$198)+SUMIF(竣!$AM$8:$AM$130,B34,竣!$BO$8:$BO$130)</f>
        <v>0</v>
      </c>
      <c r="O34" s="309">
        <f>SUMIF(开!$AU$8:$AU$213,B34,开!$Z$8:$Z$213)+SUMIF('续 '!AM$8:AM$198,B34,'续 '!$R$8:$R$198)+SUMIF(竣!AM$8:AM$130,B34,竣!$R$8:$R$130)</f>
        <v>0</v>
      </c>
      <c r="P34" s="299">
        <f t="shared" si="1"/>
        <v>0</v>
      </c>
      <c r="Q34" s="309">
        <f>SUMIF(开!$AU$8:$AU$213,B34,开!$AA$8:$AA$213)+SUMIF('续 '!AM$8:AM$198,B34,'续 '!$S$8:$S$198)+SUMIF(竣!AM$8:AM$130,B34,竣!$S$8:$S$130)</f>
        <v>0</v>
      </c>
      <c r="R34" s="309">
        <f>SUMIF(开!$AU$8:$AU$213,B34,开!$AB$8:$AB$213)+SUMIF('续 '!AM$8:AM$198,B34,'续 '!$T$8:$T$198)+SUMIF(竣!AM$8:AM$130,B34,竣!$T$8:$T$130)</f>
        <v>0</v>
      </c>
      <c r="S34" s="309">
        <f>SUMIF(开!$AU$8:$AU$213,B34,开!$BS$8:$BS$213)+SUMIF('续 '!AM$8:AM$198,B34,'续 '!$BQ$8:$BQ$198)+SUMIF(竣!AM$8:AM$130,B34,竣!$BQ$8:$BQ$130)</f>
        <v>0</v>
      </c>
      <c r="T34" s="309">
        <f>SUMIF(开!$AU$8:$AU$213,B34,开!$AC$8:$AC$213)+SUMIF('续 '!AM$8:AM$198,B34,'续 '!$U$8:$U$198)+SUMIF(竣!AM$8:AM$130,B34,竣!$U$8:$U$130)</f>
        <v>0</v>
      </c>
      <c r="U34" s="299">
        <f t="shared" si="3"/>
        <v>0</v>
      </c>
      <c r="V34" s="309">
        <f>SUMIF(开!$AU$8:$AU$213,B34,开!$AD$8:$AD$213)+SUMIF('续 '!AM$8:AM$198,B34,'续 '!$V$8:$V$198)+SUMIF(竣!AM$8:AM$130,B34,竣!$V$8:$V$130)</f>
        <v>0</v>
      </c>
      <c r="W34" s="309">
        <f>SUMIF(开!$AU$8:$AU$213,B34,开!$AE$8:$AE$213)+SUMIF('续 '!AM$8:AM$198,B34,'续 '!$W$8:$W$198)+SUMIF(竣!AM$8:AM$130,B34,竣!$W$8:$W$130)</f>
        <v>0</v>
      </c>
      <c r="X34" s="309">
        <f>SUMIF(开!$AU$8:$AU$213,B34,开!$BR$8:$BR$213)+SUMIF('续 '!AM$8:AM$198,B34,'续 '!$BP$8:$BP$198)+SUMIF(竣!AM$8:AM$130,B34,竣!$BP$8:$BP$130)</f>
        <v>0</v>
      </c>
      <c r="Y34" s="309">
        <f>SUMIF(开!$AU$8:$AU$213,B34,开!$AF$8:$AF$213)+SUMIF('续 '!AM$8:AM$198,B34,'续 '!$X$8:$X$198)+SUMIF(竣!AM$8:AM$130,B34,竣!$X$8:$X$130)</f>
        <v>0</v>
      </c>
      <c r="Z34" s="299">
        <f t="shared" si="4"/>
        <v>0</v>
      </c>
      <c r="AA34" s="309">
        <f>SUMIF(开!$AU$8:$AU$213,B34,开!$AG$8:$AG$213)+SUMIF('续 '!AM$8:AM$198,B34,'续 '!$Y$8:$Y$198)+SUMIF(竣!AM$8:AM$130,B34,竣!$Y$8:$Y$130)</f>
        <v>0</v>
      </c>
      <c r="AB34" s="309">
        <f>SUMIF(开!$AU$8:$AU$213,B34,开!$AH$8:$AH$213)+SUMIF('续 '!AM$8:AM$198,B34,'续 '!$Z$8:$Z$198)+SUMIF(竣!AM$8:AM$130,B34,竣!$Z$8:$Z$130)</f>
        <v>0</v>
      </c>
      <c r="AC34" s="309">
        <f>SUMIF(开!$AU$8:$AU$213,B34,开!$BT$8:$BT$213)+SUMIF('续 '!AM$8:AM$198,B34,'续 '!$BR$8:$BR$198)+SUMIF(竣!AM$8:AM$130,B34,竣!$BR$8:$BR$130)</f>
        <v>0</v>
      </c>
      <c r="AD34" s="309">
        <f>SUMIF(开!$AU$8:$AU$213,B34,开!$AI$8:$AI$213)+SUMIF('续 '!AM$8:AM$198,B34,'续 '!$AA$8:$AA$198)+SUMIF(竣!AM$8:AM$130,B34,竣!$AA$8:$AA$130)</f>
        <v>0</v>
      </c>
      <c r="AE34" s="299">
        <f t="shared" si="5"/>
        <v>0</v>
      </c>
      <c r="AF34" s="309">
        <f>SUMIF(开!$AU$8:$AU$213,B34,开!$AJ$8:$AJ$213)+SUMIF('续 '!AM$8:AM$198,B34,'续 '!$AB$8:$AB$198)+SUMIF(竣!AM$8:AM$130,B34,竣!$AB$8:$AB$130)</f>
        <v>0</v>
      </c>
      <c r="AG34" s="309">
        <f>SUMIF(开!$AU$8:$AU$213,B34,开!$AK$8:$AK$213)+SUMIF('续 '!AM$8:AM$198,B34,'续 '!$AC$8:$AC$198)+SUMIF(竣!AM$8:AM$130,B34,竣!$AC$8:$AC$130)</f>
        <v>0</v>
      </c>
      <c r="AH34" s="309">
        <f>SUMIF(开!$AU$8:$AU$213,B34,开!$BU$8:$BU$213)+SUMIF('续 '!AM$8:AM$198,B34,'续 '!$BS$8:$BS$198)+SUMIF(竣!AM$8:AM$130,B34,竣!$BS$8:$BS$130)</f>
        <v>0</v>
      </c>
      <c r="AI34" s="309">
        <f t="shared" si="6"/>
        <v>0</v>
      </c>
      <c r="AJ34" s="309">
        <f>(SUMIF(开!$AU$8:$AU$213,B34,开!$AL$8:$AL$213)+SUMIF('续 '!AM$8:AM$198,B34,'续 '!$AD$8:$AD$198)+SUMIF(竣!AM$8:AM$130,B34,竣!$AD$8:$AD$130))/10000</f>
        <v>0</v>
      </c>
      <c r="AK34" s="299">
        <f t="shared" si="7"/>
        <v>0</v>
      </c>
      <c r="AL34" s="309">
        <f>(SUMIF(开!$AU$8:$AU$213,B34,开!$AO$8:$AO$213)+SUMIF('续 '!AM$8:AM$198,B34,'续 '!$AF$8:$AF$198)+SUMIF(竣!AM$8:AM$130,B34,竣!$AG$8:$AG$130))/10000</f>
        <v>0</v>
      </c>
      <c r="AM34" s="309">
        <f>(SUMIF(开!$AU$8:$AU$213,B34,开!$AP$8:$AP$213)+SUMIF('续 '!AM$8:AM$198,B34,'续 '!$AH$8:$AH$198)+SUMIF(竣!AM$8:AM$130,B34,竣!$AH$8:$AH$130))/10000</f>
        <v>0</v>
      </c>
      <c r="AN34" s="327"/>
      <c r="AO34" s="327"/>
    </row>
    <row r="35" s="316" customFormat="1" ht="20.1" customHeight="1" spans="1:48">
      <c r="A35" s="319" t="s">
        <v>2833</v>
      </c>
      <c r="B35" s="292"/>
      <c r="C35" s="293">
        <f>SUM(C36:C47)</f>
        <v>16.53</v>
      </c>
      <c r="D35" s="290"/>
      <c r="E35" s="290"/>
      <c r="F35" s="308">
        <f t="shared" ref="F35:AM35" si="26">SUM(F36:F47)</f>
        <v>5</v>
      </c>
      <c r="G35" s="308"/>
      <c r="H35" s="308"/>
      <c r="I35" s="308"/>
      <c r="J35" s="308">
        <f t="shared" si="26"/>
        <v>2</v>
      </c>
      <c r="K35" s="308"/>
      <c r="L35" s="308"/>
      <c r="M35" s="308"/>
      <c r="N35" s="308">
        <f t="shared" si="26"/>
        <v>7</v>
      </c>
      <c r="O35" s="308">
        <f t="shared" si="26"/>
        <v>7176.02</v>
      </c>
      <c r="P35" s="294">
        <f t="shared" si="1"/>
        <v>6932.02</v>
      </c>
      <c r="Q35" s="308">
        <f t="shared" si="26"/>
        <v>1298</v>
      </c>
      <c r="R35" s="308">
        <f t="shared" si="26"/>
        <v>244</v>
      </c>
      <c r="S35" s="308">
        <f t="shared" si="26"/>
        <v>0</v>
      </c>
      <c r="T35" s="308">
        <f t="shared" si="26"/>
        <v>0</v>
      </c>
      <c r="U35" s="294">
        <f t="shared" si="3"/>
        <v>0</v>
      </c>
      <c r="V35" s="308">
        <f t="shared" si="26"/>
        <v>0</v>
      </c>
      <c r="W35" s="308">
        <f t="shared" si="26"/>
        <v>0</v>
      </c>
      <c r="X35" s="308">
        <f t="shared" si="26"/>
        <v>3</v>
      </c>
      <c r="Y35" s="308">
        <f t="shared" si="26"/>
        <v>1188.2545</v>
      </c>
      <c r="Z35" s="294">
        <f t="shared" si="4"/>
        <v>1043.2545</v>
      </c>
      <c r="AA35" s="308">
        <f t="shared" si="26"/>
        <v>1043.2545</v>
      </c>
      <c r="AB35" s="308">
        <f t="shared" si="26"/>
        <v>145</v>
      </c>
      <c r="AC35" s="308">
        <f t="shared" si="26"/>
        <v>2</v>
      </c>
      <c r="AD35" s="308">
        <f t="shared" si="26"/>
        <v>103</v>
      </c>
      <c r="AE35" s="294">
        <f t="shared" si="5"/>
        <v>0</v>
      </c>
      <c r="AF35" s="308">
        <f t="shared" si="26"/>
        <v>0</v>
      </c>
      <c r="AG35" s="308">
        <f t="shared" si="26"/>
        <v>103</v>
      </c>
      <c r="AH35" s="308">
        <f t="shared" si="26"/>
        <v>9</v>
      </c>
      <c r="AI35" s="308">
        <f t="shared" si="6"/>
        <v>16.53</v>
      </c>
      <c r="AJ35" s="308">
        <f t="shared" si="26"/>
        <v>7.8632</v>
      </c>
      <c r="AK35" s="294">
        <f t="shared" si="7"/>
        <v>14.936</v>
      </c>
      <c r="AL35" s="308">
        <f t="shared" si="26"/>
        <v>6.2692</v>
      </c>
      <c r="AM35" s="308">
        <f t="shared" si="26"/>
        <v>1.594</v>
      </c>
      <c r="AN35" s="290"/>
      <c r="AO35" s="290"/>
      <c r="AR35" s="332"/>
      <c r="AS35" s="332"/>
      <c r="AT35" s="332"/>
      <c r="AU35" s="332"/>
      <c r="AV35" s="332"/>
    </row>
    <row r="36" ht="20.1" customHeight="1" spans="1:41">
      <c r="A36" s="320" t="s">
        <v>2834</v>
      </c>
      <c r="B36" s="321" t="s">
        <v>1621</v>
      </c>
      <c r="C36" s="298">
        <f>单位!F27/10000</f>
        <v>1.536</v>
      </c>
      <c r="D36" s="323"/>
      <c r="E36" s="323"/>
      <c r="F36" s="299">
        <f>单位!I27</f>
        <v>1</v>
      </c>
      <c r="G36" s="323"/>
      <c r="H36" s="323"/>
      <c r="I36" s="323"/>
      <c r="J36" s="299">
        <f>单位!Y27</f>
        <v>1</v>
      </c>
      <c r="K36" s="323"/>
      <c r="L36" s="323"/>
      <c r="M36" s="323"/>
      <c r="N36" s="309">
        <f>SUMIF(开!$AU$8:$AU$213,B36,开!$BQ$8:$BQ$213)+SUMIF('续 '!$AM$8:$AM$198,B36,'续 '!$BO$8:$BO$198)+SUMIF(竣!$AM$8:$AM$130,B36,竣!$BO$8:$BO$130)</f>
        <v>0</v>
      </c>
      <c r="O36" s="309">
        <f>SUMIF(开!$AU$8:$AU$213,B36,开!$Z$8:$Z$213)+SUMIF('续 '!AM$8:AM$198,B36,'续 '!$R$8:$R$198)+SUMIF(竣!AM$8:AM$130,B36,竣!$R$8:$R$130)</f>
        <v>0</v>
      </c>
      <c r="P36" s="299">
        <f t="shared" si="1"/>
        <v>0</v>
      </c>
      <c r="Q36" s="309">
        <f>SUMIF(开!$AU$8:$AU$213,B36,开!$AA$8:$AA$213)+SUMIF('续 '!AM$8:AM$198,B36,'续 '!$S$8:$S$198)+SUMIF(竣!AM$8:AM$130,B36,竣!$S$8:$S$130)</f>
        <v>0</v>
      </c>
      <c r="R36" s="309">
        <f>SUMIF(开!$AU$8:$AU$213,B36,开!$AB$8:$AB$213)+SUMIF('续 '!AM$8:AM$198,B36,'续 '!$T$8:$T$198)+SUMIF(竣!AM$8:AM$130,B36,竣!$T$8:$T$130)</f>
        <v>0</v>
      </c>
      <c r="S36" s="309">
        <f>SUMIF(开!$AU$8:$AU$213,B36,开!$BS$8:$BS$213)+SUMIF('续 '!AM$8:AM$198,B36,'续 '!$BQ$8:$BQ$198)+SUMIF(竣!AM$8:AM$130,B36,竣!$BQ$8:$BQ$130)</f>
        <v>0</v>
      </c>
      <c r="T36" s="309">
        <f>SUMIF(开!$AU$8:$AU$213,B36,开!$AC$8:$AC$213)+SUMIF('续 '!AM$8:AM$198,B36,'续 '!$U$8:$U$198)+SUMIF(竣!AM$8:AM$130,B36,竣!$U$8:$U$130)</f>
        <v>0</v>
      </c>
      <c r="U36" s="299">
        <f t="shared" si="3"/>
        <v>0</v>
      </c>
      <c r="V36" s="309">
        <f>SUMIF(开!$AU$8:$AU$213,B36,开!$AD$8:$AD$213)+SUMIF('续 '!AM$8:AM$198,B36,'续 '!$V$8:$V$198)+SUMIF(竣!AM$8:AM$130,B36,竣!$V$8:$V$130)</f>
        <v>0</v>
      </c>
      <c r="W36" s="309">
        <f>SUMIF(开!$AU$8:$AU$213,B36,开!$AE$8:$AE$213)+SUMIF('续 '!AM$8:AM$198,B36,'续 '!$W$8:$W$198)+SUMIF(竣!AM$8:AM$130,B36,竣!$W$8:$W$130)</f>
        <v>0</v>
      </c>
      <c r="X36" s="309">
        <f>SUMIF(开!$AU$8:$AU$213,B36,开!$BR$8:$BR$213)+SUMIF('续 '!AM$8:AM$198,B36,'续 '!$BP$8:$BP$198)+SUMIF(竣!AM$8:AM$130,B36,竣!$BP$8:$BP$130)</f>
        <v>0</v>
      </c>
      <c r="Y36" s="309">
        <f>SUMIF(开!$AU$8:$AU$213,B36,开!$AF$8:$AF$213)+SUMIF('续 '!AM$8:AM$198,B36,'续 '!$X$8:$X$198)+SUMIF(竣!AM$8:AM$130,B36,竣!$X$8:$X$130)</f>
        <v>0</v>
      </c>
      <c r="Z36" s="299">
        <f t="shared" si="4"/>
        <v>0</v>
      </c>
      <c r="AA36" s="309">
        <f>SUMIF(开!$AU$8:$AU$213,B36,开!$AG$8:$AG$213)+SUMIF('续 '!AM$8:AM$198,B36,'续 '!$Y$8:$Y$198)+SUMIF(竣!AM$8:AM$130,B36,竣!$Y$8:$Y$130)</f>
        <v>0</v>
      </c>
      <c r="AB36" s="309">
        <f>SUMIF(开!$AU$8:$AU$213,B36,开!$AH$8:$AH$213)+SUMIF('续 '!AM$8:AM$198,B36,'续 '!$Z$8:$Z$198)+SUMIF(竣!AM$8:AM$130,B36,竣!$Z$8:$Z$130)</f>
        <v>0</v>
      </c>
      <c r="AC36" s="309">
        <f>SUMIF(开!$AU$8:$AU$213,B36,开!$BT$8:$BT$213)+SUMIF('续 '!AM$8:AM$198,B36,'续 '!$BR$8:$BR$198)+SUMIF(竣!AM$8:AM$130,B36,竣!$BR$8:$BR$130)</f>
        <v>0</v>
      </c>
      <c r="AD36" s="309">
        <f>SUMIF(开!$AU$8:$AU$213,B36,开!$AI$8:$AI$213)+SUMIF('续 '!AM$8:AM$198,B36,'续 '!$AA$8:$AA$198)+SUMIF(竣!AM$8:AM$130,B36,竣!$AA$8:$AA$130)</f>
        <v>0</v>
      </c>
      <c r="AE36" s="299">
        <f t="shared" si="5"/>
        <v>0</v>
      </c>
      <c r="AF36" s="309">
        <f>SUMIF(开!$AU$8:$AU$213,B36,开!$AJ$8:$AJ$213)+SUMIF('续 '!AM$8:AM$198,B36,'续 '!$AB$8:$AB$198)+SUMIF(竣!AM$8:AM$130,B36,竣!$AB$8:$AB$130)</f>
        <v>0</v>
      </c>
      <c r="AG36" s="309">
        <f>SUMIF(开!$AU$8:$AU$213,B36,开!$AK$8:$AK$213)+SUMIF('续 '!AM$8:AM$198,B36,'续 '!$AC$8:$AC$198)+SUMIF(竣!AM$8:AM$130,B36,竣!$AC$8:$AC$130)</f>
        <v>0</v>
      </c>
      <c r="AH36" s="309">
        <f>SUMIF(开!$AU$8:$AU$213,B36,开!$BU$8:$BU$213)+SUMIF('续 '!AM$8:AM$198,B36,'续 '!$BS$8:$BS$198)+SUMIF(竣!AM$8:AM$130,B36,竣!$BS$8:$BS$130)</f>
        <v>2</v>
      </c>
      <c r="AI36" s="309">
        <f t="shared" si="6"/>
        <v>1.536</v>
      </c>
      <c r="AJ36" s="309">
        <f>(SUMIF(开!$AU$8:$AU$213,B36,开!$AL$8:$AL$213)+SUMIF('续 '!AM$8:AM$198,B36,'续 '!$AD$8:$AD$198)+SUMIF(竣!AM$8:AM$130,B36,竣!$AD$8:$AD$130))/10000</f>
        <v>1.536</v>
      </c>
      <c r="AK36" s="299">
        <f t="shared" si="7"/>
        <v>1.536</v>
      </c>
      <c r="AL36" s="309">
        <f>(SUMIF(开!$AU$8:$AU$213,B36,开!$AO$8:$AO$213)+SUMIF('续 '!AM$8:AM$198,B36,'续 '!$AF$8:$AF$198)+SUMIF(竣!AM$8:AM$130,B36,竣!$AG$8:$AG$130))/10000</f>
        <v>1.536</v>
      </c>
      <c r="AM36" s="309">
        <f>(SUMIF(开!$AU$8:$AU$213,B36,开!$AP$8:$AP$213)+SUMIF('续 '!AM$8:AM$198,B36,'续 '!$AH$8:$AH$198)+SUMIF(竣!AM$8:AM$130,B36,竣!$AH$8:$AH$130))/10000</f>
        <v>0</v>
      </c>
      <c r="AN36" s="323"/>
      <c r="AO36" s="323"/>
    </row>
    <row r="37" ht="20.1" customHeight="1" spans="1:41">
      <c r="A37" s="320" t="s">
        <v>2835</v>
      </c>
      <c r="B37" s="321" t="s">
        <v>2755</v>
      </c>
      <c r="C37" s="298">
        <f>单位!F28/10000</f>
        <v>0</v>
      </c>
      <c r="D37" s="323"/>
      <c r="E37" s="323"/>
      <c r="F37" s="299">
        <f>单位!I28</f>
        <v>0</v>
      </c>
      <c r="G37" s="323"/>
      <c r="H37" s="323"/>
      <c r="I37" s="323"/>
      <c r="J37" s="299">
        <f>单位!Y28</f>
        <v>0</v>
      </c>
      <c r="K37" s="323"/>
      <c r="L37" s="323"/>
      <c r="M37" s="323"/>
      <c r="N37" s="309">
        <f>SUMIF(开!$AU$8:$AU$213,B37,开!$BQ$8:$BQ$213)+SUMIF('续 '!$AM$8:$AM$198,B37,'续 '!$BO$8:$BO$198)+SUMIF(竣!$AM$8:$AM$130,B37,竣!$BO$8:$BO$130)</f>
        <v>0</v>
      </c>
      <c r="O37" s="309">
        <f>SUMIF(开!$AU$8:$AU$213,B37,开!$Z$8:$Z$213)+SUMIF('续 '!AM$8:AM$198,B37,'续 '!$R$8:$R$198)+SUMIF(竣!AM$8:AM$130,B37,竣!$R$8:$R$130)</f>
        <v>0</v>
      </c>
      <c r="P37" s="299">
        <f t="shared" si="1"/>
        <v>0</v>
      </c>
      <c r="Q37" s="309">
        <f>SUMIF(开!$AU$8:$AU$213,B37,开!$AA$8:$AA$213)+SUMIF('续 '!AM$8:AM$198,B37,'续 '!$S$8:$S$198)+SUMIF(竣!AM$8:AM$130,B37,竣!$S$8:$S$130)</f>
        <v>0</v>
      </c>
      <c r="R37" s="309">
        <f>SUMIF(开!$AU$8:$AU$213,B37,开!$AB$8:$AB$213)+SUMIF('续 '!AM$8:AM$198,B37,'续 '!$T$8:$T$198)+SUMIF(竣!AM$8:AM$130,B37,竣!$T$8:$T$130)</f>
        <v>0</v>
      </c>
      <c r="S37" s="309">
        <f>SUMIF(开!$AU$8:$AU$213,B37,开!$BS$8:$BS$213)+SUMIF('续 '!AM$8:AM$198,B37,'续 '!$BQ$8:$BQ$198)+SUMIF(竣!AM$8:AM$130,B37,竣!$BQ$8:$BQ$130)</f>
        <v>0</v>
      </c>
      <c r="T37" s="309">
        <f>SUMIF(开!$AU$8:$AU$213,B37,开!$AC$8:$AC$213)+SUMIF('续 '!AM$8:AM$198,B37,'续 '!$U$8:$U$198)+SUMIF(竣!AM$8:AM$130,B37,竣!$U$8:$U$130)</f>
        <v>0</v>
      </c>
      <c r="U37" s="299">
        <f t="shared" si="3"/>
        <v>0</v>
      </c>
      <c r="V37" s="309">
        <f>SUMIF(开!$AU$8:$AU$213,B37,开!$AD$8:$AD$213)+SUMIF('续 '!AM$8:AM$198,B37,'续 '!$V$8:$V$198)+SUMIF(竣!AM$8:AM$130,B37,竣!$V$8:$V$130)</f>
        <v>0</v>
      </c>
      <c r="W37" s="309">
        <f>SUMIF(开!$AU$8:$AU$213,B37,开!$AE$8:$AE$213)+SUMIF('续 '!AM$8:AM$198,B37,'续 '!$W$8:$W$198)+SUMIF(竣!AM$8:AM$130,B37,竣!$W$8:$W$130)</f>
        <v>0</v>
      </c>
      <c r="X37" s="309">
        <f>SUMIF(开!$AU$8:$AU$213,B37,开!$BR$8:$BR$213)+SUMIF('续 '!AM$8:AM$198,B37,'续 '!$BP$8:$BP$198)+SUMIF(竣!AM$8:AM$130,B37,竣!$BP$8:$BP$130)</f>
        <v>0</v>
      </c>
      <c r="Y37" s="309">
        <f>SUMIF(开!$AU$8:$AU$213,B37,开!$AF$8:$AF$213)+SUMIF('续 '!AM$8:AM$198,B37,'续 '!$X$8:$X$198)+SUMIF(竣!AM$8:AM$130,B37,竣!$X$8:$X$130)</f>
        <v>0</v>
      </c>
      <c r="Z37" s="299">
        <f t="shared" si="4"/>
        <v>0</v>
      </c>
      <c r="AA37" s="309">
        <f>SUMIF(开!$AU$8:$AU$213,B37,开!$AG$8:$AG$213)+SUMIF('续 '!AM$8:AM$198,B37,'续 '!$Y$8:$Y$198)+SUMIF(竣!AM$8:AM$130,B37,竣!$Y$8:$Y$130)</f>
        <v>0</v>
      </c>
      <c r="AB37" s="309">
        <f>SUMIF(开!$AU$8:$AU$213,B37,开!$AH$8:$AH$213)+SUMIF('续 '!AM$8:AM$198,B37,'续 '!$Z$8:$Z$198)+SUMIF(竣!AM$8:AM$130,B37,竣!$Z$8:$Z$130)</f>
        <v>0</v>
      </c>
      <c r="AC37" s="309">
        <f>SUMIF(开!$AU$8:$AU$213,B37,开!$BT$8:$BT$213)+SUMIF('续 '!AM$8:AM$198,B37,'续 '!$BR$8:$BR$198)+SUMIF(竣!AM$8:AM$130,B37,竣!$BR$8:$BR$130)</f>
        <v>0</v>
      </c>
      <c r="AD37" s="309">
        <f>SUMIF(开!$AU$8:$AU$213,B37,开!$AI$8:$AI$213)+SUMIF('续 '!AM$8:AM$198,B37,'续 '!$AA$8:$AA$198)+SUMIF(竣!AM$8:AM$130,B37,竣!$AA$8:$AA$130)</f>
        <v>0</v>
      </c>
      <c r="AE37" s="299">
        <f t="shared" si="5"/>
        <v>0</v>
      </c>
      <c r="AF37" s="309">
        <f>SUMIF(开!$AU$8:$AU$213,B37,开!$AJ$8:$AJ$213)+SUMIF('续 '!AM$8:AM$198,B37,'续 '!$AB$8:$AB$198)+SUMIF(竣!AM$8:AM$130,B37,竣!$AB$8:$AB$130)</f>
        <v>0</v>
      </c>
      <c r="AG37" s="309">
        <f>SUMIF(开!$AU$8:$AU$213,B37,开!$AK$8:$AK$213)+SUMIF('续 '!AM$8:AM$198,B37,'续 '!$AC$8:$AC$198)+SUMIF(竣!AM$8:AM$130,B37,竣!$AC$8:$AC$130)</f>
        <v>0</v>
      </c>
      <c r="AH37" s="309">
        <f>SUMIF(开!$AU$8:$AU$213,B37,开!$BU$8:$BU$213)+SUMIF('续 '!AM$8:AM$198,B37,'续 '!$BS$8:$BS$198)+SUMIF(竣!AM$8:AM$130,B37,竣!$BS$8:$BS$130)</f>
        <v>0</v>
      </c>
      <c r="AI37" s="309">
        <f t="shared" si="6"/>
        <v>0</v>
      </c>
      <c r="AJ37" s="309">
        <f>(SUMIF(开!$AU$8:$AU$213,B37,开!$AL$8:$AL$213)+SUMIF('续 '!AM$8:AM$198,B37,'续 '!$AD$8:$AD$198)+SUMIF(竣!AM$8:AM$130,B37,竣!$AD$8:$AD$130))/10000</f>
        <v>0</v>
      </c>
      <c r="AK37" s="299">
        <f t="shared" si="7"/>
        <v>0</v>
      </c>
      <c r="AL37" s="309">
        <f>(SUMIF(开!$AU$8:$AU$213,B37,开!$AO$8:$AO$213)+SUMIF('续 '!AM$8:AM$198,B37,'续 '!$AF$8:$AF$198)+SUMIF(竣!AM$8:AM$130,B37,竣!$AG$8:$AG$130))/10000</f>
        <v>0</v>
      </c>
      <c r="AM37" s="309">
        <f>(SUMIF(开!$AU$8:$AU$213,B37,开!$AP$8:$AP$213)+SUMIF('续 '!AM$8:AM$198,B37,'续 '!$AH$8:$AH$198)+SUMIF(竣!AM$8:AM$130,B37,竣!$AH$8:$AH$130))/10000</f>
        <v>0</v>
      </c>
      <c r="AN37" s="323"/>
      <c r="AO37" s="323"/>
    </row>
    <row r="38" ht="24.95" customHeight="1" spans="1:41">
      <c r="A38" s="320" t="s">
        <v>2836</v>
      </c>
      <c r="B38" s="321" t="s">
        <v>2837</v>
      </c>
      <c r="C38" s="298">
        <f>单位!F29/10000</f>
        <v>4</v>
      </c>
      <c r="D38" s="323"/>
      <c r="E38" s="323"/>
      <c r="F38" s="299">
        <f>单位!I29</f>
        <v>0</v>
      </c>
      <c r="G38" s="323"/>
      <c r="H38" s="323"/>
      <c r="I38" s="323"/>
      <c r="J38" s="299">
        <f>单位!Y29</f>
        <v>0</v>
      </c>
      <c r="K38" s="323"/>
      <c r="L38" s="323"/>
      <c r="M38" s="323"/>
      <c r="N38" s="309">
        <f>SUMIF(开!$AU$8:$AU$213,B38,开!$BQ$8:$BQ$213)+SUMIF('续 '!$AM$8:$AM$198,B38,'续 '!$BO$8:$BO$198)+SUMIF(竣!$AM$8:$AM$130,B38,竣!$BO$8:$BO$130)</f>
        <v>0</v>
      </c>
      <c r="O38" s="309">
        <f>SUMIF(开!$AU$8:$AU$213,B38,开!$Z$8:$Z$213)+SUMIF('续 '!AM$8:AM$198,B38,'续 '!$R$8:$R$198)+SUMIF(竣!AM$8:AM$130,B38,竣!$R$8:$R$130)</f>
        <v>0</v>
      </c>
      <c r="P38" s="299">
        <f t="shared" si="1"/>
        <v>0</v>
      </c>
      <c r="Q38" s="309">
        <f>SUMIF(开!$AU$8:$AU$213,B38,开!$AA$8:$AA$213)+SUMIF('续 '!AM$8:AM$198,B38,'续 '!$S$8:$S$198)+SUMIF(竣!AM$8:AM$130,B38,竣!$S$8:$S$130)</f>
        <v>0</v>
      </c>
      <c r="R38" s="309">
        <f>SUMIF(开!$AU$8:$AU$213,B38,开!$AB$8:$AB$213)+SUMIF('续 '!AM$8:AM$198,B38,'续 '!$T$8:$T$198)+SUMIF(竣!AM$8:AM$130,B38,竣!$T$8:$T$130)</f>
        <v>0</v>
      </c>
      <c r="S38" s="309">
        <f>SUMIF(开!$AU$8:$AU$213,B38,开!$BS$8:$BS$213)+SUMIF('续 '!AM$8:AM$198,B38,'续 '!$BQ$8:$BQ$198)+SUMIF(竣!AM$8:AM$130,B38,竣!$BQ$8:$BQ$130)</f>
        <v>0</v>
      </c>
      <c r="T38" s="309">
        <f>SUMIF(开!$AU$8:$AU$213,B38,开!$AC$8:$AC$213)+SUMIF('续 '!AM$8:AM$198,B38,'续 '!$U$8:$U$198)+SUMIF(竣!AM$8:AM$130,B38,竣!$U$8:$U$130)</f>
        <v>0</v>
      </c>
      <c r="U38" s="299">
        <f t="shared" si="3"/>
        <v>0</v>
      </c>
      <c r="V38" s="309">
        <f>SUMIF(开!$AU$8:$AU$213,B38,开!$AD$8:$AD$213)+SUMIF('续 '!AM$8:AM$198,B38,'续 '!$V$8:$V$198)+SUMIF(竣!AM$8:AM$130,B38,竣!$V$8:$V$130)</f>
        <v>0</v>
      </c>
      <c r="W38" s="309">
        <f>SUMIF(开!$AU$8:$AU$213,B38,开!$AE$8:$AE$213)+SUMIF('续 '!AM$8:AM$198,B38,'续 '!$W$8:$W$198)+SUMIF(竣!AM$8:AM$130,B38,竣!$W$8:$W$130)</f>
        <v>0</v>
      </c>
      <c r="X38" s="309">
        <f>SUMIF(开!$AU$8:$AU$213,B38,开!$BR$8:$BR$213)+SUMIF('续 '!AM$8:AM$198,B38,'续 '!$BP$8:$BP$198)+SUMIF(竣!AM$8:AM$130,B38,竣!$BP$8:$BP$130)</f>
        <v>0</v>
      </c>
      <c r="Y38" s="309">
        <f>SUMIF(开!$AU$8:$AU$213,B38,开!$AF$8:$AF$213)+SUMIF('续 '!AM$8:AM$198,B38,'续 '!$X$8:$X$198)+SUMIF(竣!AM$8:AM$130,B38,竣!$X$8:$X$130)</f>
        <v>0</v>
      </c>
      <c r="Z38" s="299">
        <f t="shared" si="4"/>
        <v>0</v>
      </c>
      <c r="AA38" s="309">
        <f>SUMIF(开!$AU$8:$AU$213,B38,开!$AG$8:$AG$213)+SUMIF('续 '!AM$8:AM$198,B38,'续 '!$Y$8:$Y$198)+SUMIF(竣!AM$8:AM$130,B38,竣!$Y$8:$Y$130)</f>
        <v>0</v>
      </c>
      <c r="AB38" s="309">
        <f>SUMIF(开!$AU$8:$AU$213,B38,开!$AH$8:$AH$213)+SUMIF('续 '!AM$8:AM$198,B38,'续 '!$Z$8:$Z$198)+SUMIF(竣!AM$8:AM$130,B38,竣!$Z$8:$Z$130)</f>
        <v>0</v>
      </c>
      <c r="AC38" s="309">
        <f>SUMIF(开!$AU$8:$AU$213,B38,开!$BT$8:$BT$213)+SUMIF('续 '!AM$8:AM$198,B38,'续 '!$BR$8:$BR$198)+SUMIF(竣!AM$8:AM$130,B38,竣!$BR$8:$BR$130)</f>
        <v>0</v>
      </c>
      <c r="AD38" s="309">
        <f>SUMIF(开!$AU$8:$AU$213,B38,开!$AI$8:$AI$213)+SUMIF('续 '!AM$8:AM$198,B38,'续 '!$AA$8:$AA$198)+SUMIF(竣!AM$8:AM$130,B38,竣!$AA$8:$AA$130)</f>
        <v>0</v>
      </c>
      <c r="AE38" s="299">
        <f t="shared" si="5"/>
        <v>0</v>
      </c>
      <c r="AF38" s="309">
        <f>SUMIF(开!$AU$8:$AU$213,B38,开!$AJ$8:$AJ$213)+SUMIF('续 '!AM$8:AM$198,B38,'续 '!$AB$8:$AB$198)+SUMIF(竣!AM$8:AM$130,B38,竣!$AB$8:$AB$130)</f>
        <v>0</v>
      </c>
      <c r="AG38" s="309">
        <f>SUMIF(开!$AU$8:$AU$213,B38,开!$AK$8:$AK$213)+SUMIF('续 '!AM$8:AM$198,B38,'续 '!$AC$8:$AC$198)+SUMIF(竣!AM$8:AM$130,B38,竣!$AC$8:$AC$130)</f>
        <v>0</v>
      </c>
      <c r="AH38" s="309">
        <f>SUMIF(开!$AU$8:$AU$213,B38,开!$BU$8:$BU$213)+SUMIF('续 '!AM$8:AM$198,B38,'续 '!$BS$8:$BS$198)+SUMIF(竣!AM$8:AM$130,B38,竣!$BS$8:$BS$130)</f>
        <v>0</v>
      </c>
      <c r="AI38" s="309">
        <f t="shared" si="6"/>
        <v>4</v>
      </c>
      <c r="AJ38" s="309">
        <f>(SUMIF(开!$AU$8:$AU$213,B38,开!$AL$8:$AL$213)+SUMIF('续 '!AM$8:AM$198,B38,'续 '!$AD$8:$AD$198)+SUMIF(竣!AM$8:AM$130,B38,竣!$AD$8:$AD$130))/10000</f>
        <v>0</v>
      </c>
      <c r="AK38" s="299">
        <f t="shared" si="7"/>
        <v>4</v>
      </c>
      <c r="AL38" s="309">
        <f>(SUMIF(开!$AU$8:$AU$213,B38,开!$AO$8:$AO$213)+SUMIF('续 '!AM$8:AM$198,B38,'续 '!$AF$8:$AF$198)+SUMIF(竣!AM$8:AM$130,B38,竣!$AG$8:$AG$130))/10000</f>
        <v>0</v>
      </c>
      <c r="AM38" s="309">
        <f>(SUMIF(开!$AU$8:$AU$213,B38,开!$AP$8:$AP$213)+SUMIF('续 '!AM$8:AM$198,B38,'续 '!$AH$8:$AH$198)+SUMIF(竣!AM$8:AM$130,B38,竣!$AH$8:$AH$130))/10000</f>
        <v>0</v>
      </c>
      <c r="AN38" s="323"/>
      <c r="AO38" s="323"/>
    </row>
    <row r="39" ht="26.25" customHeight="1" spans="1:41">
      <c r="A39" s="320" t="s">
        <v>2838</v>
      </c>
      <c r="B39" s="321" t="s">
        <v>2756</v>
      </c>
      <c r="C39" s="298">
        <f>单位!F30/10000</f>
        <v>0</v>
      </c>
      <c r="D39" s="323"/>
      <c r="E39" s="323"/>
      <c r="F39" s="299">
        <f>单位!I30</f>
        <v>0</v>
      </c>
      <c r="G39" s="323"/>
      <c r="H39" s="323"/>
      <c r="I39" s="323"/>
      <c r="J39" s="299">
        <f>单位!Y30</f>
        <v>0</v>
      </c>
      <c r="K39" s="323"/>
      <c r="L39" s="323"/>
      <c r="M39" s="323"/>
      <c r="N39" s="309">
        <f>SUMIF(开!$AU$8:$AU$213,B39,开!$BQ$8:$BQ$213)+SUMIF('续 '!$AM$8:$AM$198,B39,'续 '!$BO$8:$BO$198)+SUMIF(竣!$AM$8:$AM$130,B39,竣!$BO$8:$BO$130)</f>
        <v>0</v>
      </c>
      <c r="O39" s="309">
        <f>SUMIF(开!$AU$8:$AU$213,B39,开!$Z$8:$Z$213)+SUMIF('续 '!AM$8:AM$198,B39,'续 '!$R$8:$R$198)+SUMIF(竣!AM$8:AM$130,B39,竣!$R$8:$R$130)</f>
        <v>0</v>
      </c>
      <c r="P39" s="299">
        <f t="shared" si="1"/>
        <v>0</v>
      </c>
      <c r="Q39" s="309">
        <f>SUMIF(开!$AU$8:$AU$213,B39,开!$AA$8:$AA$213)+SUMIF('续 '!AM$8:AM$198,B39,'续 '!$S$8:$S$198)+SUMIF(竣!AM$8:AM$130,B39,竣!$S$8:$S$130)</f>
        <v>0</v>
      </c>
      <c r="R39" s="309">
        <f>SUMIF(开!$AU$8:$AU$213,B39,开!$AB$8:$AB$213)+SUMIF('续 '!AM$8:AM$198,B39,'续 '!$T$8:$T$198)+SUMIF(竣!AM$8:AM$130,B39,竣!$T$8:$T$130)</f>
        <v>0</v>
      </c>
      <c r="S39" s="309">
        <f>SUMIF(开!$AU$8:$AU$213,B39,开!$BS$8:$BS$213)+SUMIF('续 '!AM$8:AM$198,B39,'续 '!$BQ$8:$BQ$198)+SUMIF(竣!AM$8:AM$130,B39,竣!$BQ$8:$BQ$130)</f>
        <v>0</v>
      </c>
      <c r="T39" s="309">
        <f>SUMIF(开!$AU$8:$AU$213,B39,开!$AC$8:$AC$213)+SUMIF('续 '!AM$8:AM$198,B39,'续 '!$U$8:$U$198)+SUMIF(竣!AM$8:AM$130,B39,竣!$U$8:$U$130)</f>
        <v>0</v>
      </c>
      <c r="U39" s="299">
        <f t="shared" si="3"/>
        <v>0</v>
      </c>
      <c r="V39" s="309">
        <f>SUMIF(开!$AU$8:$AU$213,B39,开!$AD$8:$AD$213)+SUMIF('续 '!AM$8:AM$198,B39,'续 '!$V$8:$V$198)+SUMIF(竣!AM$8:AM$130,B39,竣!$V$8:$V$130)</f>
        <v>0</v>
      </c>
      <c r="W39" s="309">
        <f>SUMIF(开!$AU$8:$AU$213,B39,开!$AE$8:$AE$213)+SUMIF('续 '!AM$8:AM$198,B39,'续 '!$W$8:$W$198)+SUMIF(竣!AM$8:AM$130,B39,竣!$W$8:$W$130)</f>
        <v>0</v>
      </c>
      <c r="X39" s="309">
        <f>SUMIF(开!$AU$8:$AU$213,B39,开!$BR$8:$BR$213)+SUMIF('续 '!AM$8:AM$198,B39,'续 '!$BP$8:$BP$198)+SUMIF(竣!AM$8:AM$130,B39,竣!$BP$8:$BP$130)</f>
        <v>0</v>
      </c>
      <c r="Y39" s="309">
        <f>SUMIF(开!$AU$8:$AU$213,B39,开!$AF$8:$AF$213)+SUMIF('续 '!AM$8:AM$198,B39,'续 '!$X$8:$X$198)+SUMIF(竣!AM$8:AM$130,B39,竣!$X$8:$X$130)</f>
        <v>0</v>
      </c>
      <c r="Z39" s="299">
        <f t="shared" si="4"/>
        <v>0</v>
      </c>
      <c r="AA39" s="309">
        <f>SUMIF(开!$AU$8:$AU$213,B39,开!$AG$8:$AG$213)+SUMIF('续 '!AM$8:AM$198,B39,'续 '!$Y$8:$Y$198)+SUMIF(竣!AM$8:AM$130,B39,竣!$Y$8:$Y$130)</f>
        <v>0</v>
      </c>
      <c r="AB39" s="309">
        <f>SUMIF(开!$AU$8:$AU$213,B39,开!$AH$8:$AH$213)+SUMIF('续 '!AM$8:AM$198,B39,'续 '!$Z$8:$Z$198)+SUMIF(竣!AM$8:AM$130,B39,竣!$Z$8:$Z$130)</f>
        <v>0</v>
      </c>
      <c r="AC39" s="309">
        <f>SUMIF(开!$AU$8:$AU$213,B39,开!$BT$8:$BT$213)+SUMIF('续 '!AM$8:AM$198,B39,'续 '!$BR$8:$BR$198)+SUMIF(竣!AM$8:AM$130,B39,竣!$BR$8:$BR$130)</f>
        <v>0</v>
      </c>
      <c r="AD39" s="309">
        <f>SUMIF(开!$AU$8:$AU$213,B39,开!$AI$8:$AI$213)+SUMIF('续 '!AM$8:AM$198,B39,'续 '!$AA$8:$AA$198)+SUMIF(竣!AM$8:AM$130,B39,竣!$AA$8:$AA$130)</f>
        <v>0</v>
      </c>
      <c r="AE39" s="299">
        <f t="shared" si="5"/>
        <v>0</v>
      </c>
      <c r="AF39" s="309">
        <f>SUMIF(开!$AU$8:$AU$213,B39,开!$AJ$8:$AJ$213)+SUMIF('续 '!AM$8:AM$198,B39,'续 '!$AB$8:$AB$198)+SUMIF(竣!AM$8:AM$130,B39,竣!$AB$8:$AB$130)</f>
        <v>0</v>
      </c>
      <c r="AG39" s="309">
        <f>SUMIF(开!$AU$8:$AU$213,B39,开!$AK$8:$AK$213)+SUMIF('续 '!AM$8:AM$198,B39,'续 '!$AC$8:$AC$198)+SUMIF(竣!AM$8:AM$130,B39,竣!$AC$8:$AC$130)</f>
        <v>0</v>
      </c>
      <c r="AH39" s="309">
        <f>SUMIF(开!$AU$8:$AU$213,B39,开!$BU$8:$BU$213)+SUMIF('续 '!AM$8:AM$198,B39,'续 '!$BS$8:$BS$198)+SUMIF(竣!AM$8:AM$130,B39,竣!$BS$8:$BS$130)</f>
        <v>0</v>
      </c>
      <c r="AI39" s="309">
        <f t="shared" si="6"/>
        <v>0</v>
      </c>
      <c r="AJ39" s="309">
        <f>(SUMIF(开!$AU$8:$AU$213,B39,开!$AL$8:$AL$213)+SUMIF('续 '!AM$8:AM$198,B39,'续 '!$AD$8:$AD$198)+SUMIF(竣!AM$8:AM$130,B39,竣!$AD$8:$AD$130))/10000</f>
        <v>0</v>
      </c>
      <c r="AK39" s="299">
        <f t="shared" si="7"/>
        <v>0</v>
      </c>
      <c r="AL39" s="309">
        <f>(SUMIF(开!$AU$8:$AU$213,B39,开!$AO$8:$AO$213)+SUMIF('续 '!AM$8:AM$198,B39,'续 '!$AF$8:$AF$198)+SUMIF(竣!AM$8:AM$130,B39,竣!$AG$8:$AG$130))/10000</f>
        <v>0</v>
      </c>
      <c r="AM39" s="309">
        <f>(SUMIF(开!$AU$8:$AU$213,B39,开!$AP$8:$AP$213)+SUMIF('续 '!AM$8:AM$198,B39,'续 '!$AH$8:$AH$198)+SUMIF(竣!AM$8:AM$130,B39,竣!$AH$8:$AH$130))/10000</f>
        <v>0</v>
      </c>
      <c r="AN39" s="323"/>
      <c r="AO39" s="323"/>
    </row>
    <row r="40" ht="44.25" customHeight="1" spans="1:41">
      <c r="A40" s="320" t="s">
        <v>2839</v>
      </c>
      <c r="B40" s="321" t="s">
        <v>1144</v>
      </c>
      <c r="C40" s="298">
        <f>单位!F31/10000</f>
        <v>0</v>
      </c>
      <c r="D40" s="323"/>
      <c r="E40" s="323"/>
      <c r="F40" s="299">
        <f>单位!I31</f>
        <v>0</v>
      </c>
      <c r="G40" s="323"/>
      <c r="H40" s="323"/>
      <c r="I40" s="323"/>
      <c r="J40" s="299">
        <f>单位!Y31</f>
        <v>0</v>
      </c>
      <c r="K40" s="323"/>
      <c r="L40" s="323"/>
      <c r="M40" s="323"/>
      <c r="N40" s="309">
        <f>SUMIF(开!$AU$8:$AU$213,B40,开!$BQ$8:$BQ$213)+SUMIF('续 '!$AM$8:$AM$198,B40,'续 '!$BO$8:$BO$198)+SUMIF(竣!$AM$8:$AM$130,B40,竣!$BO$8:$BO$130)</f>
        <v>1</v>
      </c>
      <c r="O40" s="309">
        <f>SUMIF(开!$AU$8:$AU$213,B40,开!$Z$8:$Z$213)+SUMIF('续 '!AM$8:AM$198,B40,'续 '!$R$8:$R$198)+SUMIF(竣!AM$8:AM$130,B40,竣!$R$8:$R$130)</f>
        <v>1182</v>
      </c>
      <c r="P40" s="299">
        <f t="shared" si="1"/>
        <v>1052</v>
      </c>
      <c r="Q40" s="309">
        <f>SUMIF(开!$AU$8:$AU$213,B40,开!$AA$8:$AA$213)+SUMIF('续 '!AM$8:AM$198,B40,'续 '!$S$8:$S$198)+SUMIF(竣!AM$8:AM$130,B40,竣!$S$8:$S$130)</f>
        <v>1052</v>
      </c>
      <c r="R40" s="309">
        <f>SUMIF(开!$AU$8:$AU$213,B40,开!$AB$8:$AB$213)+SUMIF('续 '!AM$8:AM$198,B40,'续 '!$T$8:$T$198)+SUMIF(竣!AM$8:AM$130,B40,竣!$T$8:$T$130)</f>
        <v>130</v>
      </c>
      <c r="S40" s="309">
        <f>SUMIF(开!$AU$8:$AU$213,B40,开!$BS$8:$BS$213)+SUMIF('续 '!AM$8:AM$198,B40,'续 '!$BQ$8:$BQ$198)+SUMIF(竣!AM$8:AM$130,B40,竣!$BQ$8:$BQ$130)</f>
        <v>0</v>
      </c>
      <c r="T40" s="309">
        <f>SUMIF(开!$AU$8:$AU$213,B40,开!$AC$8:$AC$213)+SUMIF('续 '!AM$8:AM$198,B40,'续 '!$U$8:$U$198)+SUMIF(竣!AM$8:AM$130,B40,竣!$U$8:$U$130)</f>
        <v>0</v>
      </c>
      <c r="U40" s="299">
        <f t="shared" si="3"/>
        <v>0</v>
      </c>
      <c r="V40" s="309">
        <f>SUMIF(开!$AU$8:$AU$213,B40,开!$AD$8:$AD$213)+SUMIF('续 '!AM$8:AM$198,B40,'续 '!$V$8:$V$198)+SUMIF(竣!AM$8:AM$130,B40,竣!$V$8:$V$130)</f>
        <v>0</v>
      </c>
      <c r="W40" s="309">
        <f>SUMIF(开!$AU$8:$AU$213,B40,开!$AE$8:$AE$213)+SUMIF('续 '!AM$8:AM$198,B40,'续 '!$W$8:$W$198)+SUMIF(竣!AM$8:AM$130,B40,竣!$W$8:$W$130)</f>
        <v>0</v>
      </c>
      <c r="X40" s="309">
        <f>SUMIF(开!$AU$8:$AU$213,B40,开!$BR$8:$BR$213)+SUMIF('续 '!AM$8:AM$198,B40,'续 '!$BP$8:$BP$198)+SUMIF(竣!AM$8:AM$130,B40,竣!$BP$8:$BP$130)</f>
        <v>1</v>
      </c>
      <c r="Y40" s="309">
        <f>SUMIF(开!$AU$8:$AU$213,B40,开!$AF$8:$AF$213)+SUMIF('续 '!AM$8:AM$198,B40,'续 '!$X$8:$X$198)+SUMIF(竣!AM$8:AM$130,B40,竣!$X$8:$X$130)</f>
        <v>130</v>
      </c>
      <c r="Z40" s="299">
        <f t="shared" si="4"/>
        <v>0</v>
      </c>
      <c r="AA40" s="309">
        <f>SUMIF(开!$AU$8:$AU$213,B40,开!$AG$8:$AG$213)+SUMIF('续 '!AM$8:AM$198,B40,'续 '!$Y$8:$Y$198)+SUMIF(竣!AM$8:AM$130,B40,竣!$Y$8:$Y$130)</f>
        <v>0</v>
      </c>
      <c r="AB40" s="309">
        <f>SUMIF(开!$AU$8:$AU$213,B40,开!$AH$8:$AH$213)+SUMIF('续 '!AM$8:AM$198,B40,'续 '!$Z$8:$Z$198)+SUMIF(竣!AM$8:AM$130,B40,竣!$Z$8:$Z$130)</f>
        <v>130</v>
      </c>
      <c r="AC40" s="309">
        <f>SUMIF(开!$AU$8:$AU$213,B40,开!$BT$8:$BT$213)+SUMIF('续 '!AM$8:AM$198,B40,'续 '!$BR$8:$BR$198)+SUMIF(竣!AM$8:AM$130,B40,竣!$BR$8:$BR$130)</f>
        <v>0</v>
      </c>
      <c r="AD40" s="309">
        <f>SUMIF(开!$AU$8:$AU$213,B40,开!$AI$8:$AI$213)+SUMIF('续 '!AM$8:AM$198,B40,'续 '!$AA$8:$AA$198)+SUMIF(竣!AM$8:AM$130,B40,竣!$AA$8:$AA$130)</f>
        <v>0</v>
      </c>
      <c r="AE40" s="299">
        <f t="shared" si="5"/>
        <v>0</v>
      </c>
      <c r="AF40" s="309">
        <f>SUMIF(开!$AU$8:$AU$213,B40,开!$AJ$8:$AJ$213)+SUMIF('续 '!AM$8:AM$198,B40,'续 '!$AB$8:$AB$198)+SUMIF(竣!AM$8:AM$130,B40,竣!$AB$8:$AB$130)</f>
        <v>0</v>
      </c>
      <c r="AG40" s="309">
        <f>SUMIF(开!$AU$8:$AU$213,B40,开!$AK$8:$AK$213)+SUMIF('续 '!AM$8:AM$198,B40,'续 '!$AC$8:$AC$198)+SUMIF(竣!AM$8:AM$130,B40,竣!$AC$8:$AC$130)</f>
        <v>0</v>
      </c>
      <c r="AH40" s="309">
        <f>SUMIF(开!$AU$8:$AU$213,B40,开!$BU$8:$BU$213)+SUMIF('续 '!AM$8:AM$198,B40,'续 '!$BS$8:$BS$198)+SUMIF(竣!AM$8:AM$130,B40,竣!$BS$8:$BS$130)</f>
        <v>1</v>
      </c>
      <c r="AI40" s="309">
        <f t="shared" si="6"/>
        <v>0</v>
      </c>
      <c r="AJ40" s="309">
        <f>(SUMIF(开!$AU$8:$AU$213,B40,开!$AL$8:$AL$213)+SUMIF('续 '!AM$8:AM$198,B40,'续 '!$AD$8:$AD$198)+SUMIF(竣!AM$8:AM$130,B40,竣!$AD$8:$AD$130))/10000</f>
        <v>3</v>
      </c>
      <c r="AK40" s="299">
        <f t="shared" si="7"/>
        <v>0</v>
      </c>
      <c r="AL40" s="309">
        <f>(SUMIF(开!$AU$8:$AU$213,B40,开!$AO$8:$AO$213)+SUMIF('续 '!AM$8:AM$198,B40,'续 '!$AF$8:$AF$198)+SUMIF(竣!AM$8:AM$130,B40,竣!$AG$8:$AG$130))/10000</f>
        <v>3</v>
      </c>
      <c r="AM40" s="309">
        <f>(SUMIF(开!$AU$8:$AU$213,B40,开!$AP$8:$AP$213)+SUMIF('续 '!AM$8:AM$198,B40,'续 '!$AH$8:$AH$198)+SUMIF(竣!AM$8:AM$130,B40,竣!$AH$8:$AH$130))/10000</f>
        <v>0</v>
      </c>
      <c r="AN40" s="323"/>
      <c r="AO40" s="323"/>
    </row>
    <row r="41" ht="33.75" customHeight="1" spans="1:41">
      <c r="A41" s="320" t="s">
        <v>2840</v>
      </c>
      <c r="B41" s="321" t="s">
        <v>2758</v>
      </c>
      <c r="C41" s="298">
        <f>单位!F32/10000</f>
        <v>0</v>
      </c>
      <c r="D41" s="323"/>
      <c r="E41" s="323"/>
      <c r="F41" s="299">
        <f>单位!I32</f>
        <v>0</v>
      </c>
      <c r="G41" s="323"/>
      <c r="H41" s="323"/>
      <c r="I41" s="323"/>
      <c r="J41" s="299">
        <f>单位!Y32</f>
        <v>0</v>
      </c>
      <c r="K41" s="323"/>
      <c r="L41" s="323"/>
      <c r="M41" s="323"/>
      <c r="N41" s="309">
        <f>SUMIF(开!$AU$8:$AU$213,B41,开!$BQ$8:$BQ$213)+SUMIF('续 '!$AM$8:$AM$198,B41,'续 '!$BO$8:$BO$198)+SUMIF(竣!$AM$8:$AM$130,B41,竣!$BO$8:$BO$130)</f>
        <v>0</v>
      </c>
      <c r="O41" s="309">
        <f>SUMIF(开!$AU$8:$AU$213,B41,开!$Z$8:$Z$213)+SUMIF('续 '!AM$8:AM$198,B41,'续 '!$R$8:$R$198)+SUMIF(竣!AM$8:AM$130,B41,竣!$R$8:$R$130)</f>
        <v>0</v>
      </c>
      <c r="P41" s="299">
        <f t="shared" si="1"/>
        <v>0</v>
      </c>
      <c r="Q41" s="309">
        <f>SUMIF(开!$AU$8:$AU$213,B41,开!$AA$8:$AA$213)+SUMIF('续 '!AM$8:AM$198,B41,'续 '!$S$8:$S$198)+SUMIF(竣!AM$8:AM$130,B41,竣!$S$8:$S$130)</f>
        <v>0</v>
      </c>
      <c r="R41" s="309">
        <f>SUMIF(开!$AU$8:$AU$213,B41,开!$AB$8:$AB$213)+SUMIF('续 '!AM$8:AM$198,B41,'续 '!$T$8:$T$198)+SUMIF(竣!AM$8:AM$130,B41,竣!$T$8:$T$130)</f>
        <v>0</v>
      </c>
      <c r="S41" s="309">
        <f>SUMIF(开!$AU$8:$AU$213,B41,开!$BS$8:$BS$213)+SUMIF('续 '!AM$8:AM$198,B41,'续 '!$BQ$8:$BQ$198)+SUMIF(竣!AM$8:AM$130,B41,竣!$BQ$8:$BQ$130)</f>
        <v>0</v>
      </c>
      <c r="T41" s="309">
        <f>SUMIF(开!$AU$8:$AU$213,B41,开!$AC$8:$AC$213)+SUMIF('续 '!AM$8:AM$198,B41,'续 '!$U$8:$U$198)+SUMIF(竣!AM$8:AM$130,B41,竣!$U$8:$U$130)</f>
        <v>0</v>
      </c>
      <c r="U41" s="299">
        <f t="shared" si="3"/>
        <v>0</v>
      </c>
      <c r="V41" s="309">
        <f>SUMIF(开!$AU$8:$AU$213,B41,开!$AD$8:$AD$213)+SUMIF('续 '!AM$8:AM$198,B41,'续 '!$V$8:$V$198)+SUMIF(竣!AM$8:AM$130,B41,竣!$V$8:$V$130)</f>
        <v>0</v>
      </c>
      <c r="W41" s="309">
        <f>SUMIF(开!$AU$8:$AU$213,B41,开!$AE$8:$AE$213)+SUMIF('续 '!AM$8:AM$198,B41,'续 '!$W$8:$W$198)+SUMIF(竣!AM$8:AM$130,B41,竣!$W$8:$W$130)</f>
        <v>0</v>
      </c>
      <c r="X41" s="309">
        <f>SUMIF(开!$AU$8:$AU$213,B41,开!$BR$8:$BR$213)+SUMIF('续 '!AM$8:AM$198,B41,'续 '!$BP$8:$BP$198)+SUMIF(竣!AM$8:AM$130,B41,竣!$BP$8:$BP$130)</f>
        <v>0</v>
      </c>
      <c r="Y41" s="309">
        <f>SUMIF(开!$AU$8:$AU$213,B41,开!$AF$8:$AF$213)+SUMIF('续 '!AM$8:AM$198,B41,'续 '!$X$8:$X$198)+SUMIF(竣!AM$8:AM$130,B41,竣!$X$8:$X$130)</f>
        <v>0</v>
      </c>
      <c r="Z41" s="299">
        <f t="shared" si="4"/>
        <v>0</v>
      </c>
      <c r="AA41" s="309">
        <f>SUMIF(开!$AU$8:$AU$213,B41,开!$AG$8:$AG$213)+SUMIF('续 '!AM$8:AM$198,B41,'续 '!$Y$8:$Y$198)+SUMIF(竣!AM$8:AM$130,B41,竣!$Y$8:$Y$130)</f>
        <v>0</v>
      </c>
      <c r="AB41" s="309">
        <f>SUMIF(开!$AU$8:$AU$213,B41,开!$AH$8:$AH$213)+SUMIF('续 '!AM$8:AM$198,B41,'续 '!$Z$8:$Z$198)+SUMIF(竣!AM$8:AM$130,B41,竣!$Z$8:$Z$130)</f>
        <v>0</v>
      </c>
      <c r="AC41" s="309">
        <f>SUMIF(开!$AU$8:$AU$213,B41,开!$BT$8:$BT$213)+SUMIF('续 '!AM$8:AM$198,B41,'续 '!$BR$8:$BR$198)+SUMIF(竣!AM$8:AM$130,B41,竣!$BR$8:$BR$130)</f>
        <v>0</v>
      </c>
      <c r="AD41" s="309">
        <f>SUMIF(开!$AU$8:$AU$213,B41,开!$AI$8:$AI$213)+SUMIF('续 '!AM$8:AM$198,B41,'续 '!$AA$8:$AA$198)+SUMIF(竣!AM$8:AM$130,B41,竣!$AA$8:$AA$130)</f>
        <v>0</v>
      </c>
      <c r="AE41" s="299">
        <f t="shared" si="5"/>
        <v>0</v>
      </c>
      <c r="AF41" s="309">
        <f>SUMIF(开!$AU$8:$AU$213,B41,开!$AJ$8:$AJ$213)+SUMIF('续 '!AM$8:AM$198,B41,'续 '!$AB$8:$AB$198)+SUMIF(竣!AM$8:AM$130,B41,竣!$AB$8:$AB$130)</f>
        <v>0</v>
      </c>
      <c r="AG41" s="309">
        <f>SUMIF(开!$AU$8:$AU$213,B41,开!$AK$8:$AK$213)+SUMIF('续 '!AM$8:AM$198,B41,'续 '!$AC$8:$AC$198)+SUMIF(竣!AM$8:AM$130,B41,竣!$AC$8:$AC$130)</f>
        <v>0</v>
      </c>
      <c r="AH41" s="309">
        <f>SUMIF(开!$AU$8:$AU$213,B41,开!$BU$8:$BU$213)+SUMIF('续 '!AM$8:AM$198,B41,'续 '!$BS$8:$BS$198)+SUMIF(竣!AM$8:AM$130,B41,竣!$BS$8:$BS$130)</f>
        <v>0</v>
      </c>
      <c r="AI41" s="309">
        <f t="shared" si="6"/>
        <v>0</v>
      </c>
      <c r="AJ41" s="309">
        <f>(SUMIF(开!$AU$8:$AU$213,B41,开!$AL$8:$AL$213)+SUMIF('续 '!AM$8:AM$198,B41,'续 '!$AD$8:$AD$198)+SUMIF(竣!AM$8:AM$130,B41,竣!$AD$8:$AD$130))/10000</f>
        <v>0</v>
      </c>
      <c r="AK41" s="299">
        <f t="shared" si="7"/>
        <v>0</v>
      </c>
      <c r="AL41" s="309">
        <f>(SUMIF(开!$AU$8:$AU$213,B41,开!$AO$8:$AO$213)+SUMIF('续 '!AM$8:AM$198,B41,'续 '!$AF$8:$AF$198)+SUMIF(竣!AM$8:AM$130,B41,竣!$AG$8:$AG$130))/10000</f>
        <v>0</v>
      </c>
      <c r="AM41" s="309">
        <f>(SUMIF(开!$AU$8:$AU$213,B41,开!$AP$8:$AP$213)+SUMIF('续 '!AM$8:AM$198,B41,'续 '!$AH$8:$AH$198)+SUMIF(竣!AM$8:AM$130,B41,竣!$AH$8:$AH$130))/10000</f>
        <v>0</v>
      </c>
      <c r="AN41" s="323"/>
      <c r="AO41" s="323"/>
    </row>
    <row r="42" ht="27.75" customHeight="1" spans="1:41">
      <c r="A42" s="320" t="s">
        <v>2841</v>
      </c>
      <c r="B42" s="321" t="s">
        <v>2759</v>
      </c>
      <c r="C42" s="298">
        <f>单位!F33/10000</f>
        <v>0</v>
      </c>
      <c r="D42" s="323"/>
      <c r="E42" s="323"/>
      <c r="F42" s="299">
        <f>单位!I33</f>
        <v>0</v>
      </c>
      <c r="G42" s="323"/>
      <c r="H42" s="323"/>
      <c r="I42" s="323"/>
      <c r="J42" s="299">
        <f>单位!Y33</f>
        <v>0</v>
      </c>
      <c r="K42" s="323"/>
      <c r="L42" s="323"/>
      <c r="M42" s="323"/>
      <c r="N42" s="309">
        <f>SUMIF(开!$AU$8:$AU$213,B42,开!$BQ$8:$BQ$213)+SUMIF('续 '!$AM$8:$AM$198,B42,'续 '!$BO$8:$BO$198)+SUMIF(竣!$AM$8:$AM$130,B42,竣!$BO$8:$BO$130)</f>
        <v>0</v>
      </c>
      <c r="O42" s="309">
        <f>SUMIF(开!$AU$8:$AU$213,B42,开!$Z$8:$Z$213)+SUMIF('续 '!AM$8:AM$198,B42,'续 '!$R$8:$R$198)+SUMIF(竣!AM$8:AM$130,B42,竣!$R$8:$R$130)</f>
        <v>0</v>
      </c>
      <c r="P42" s="299">
        <f t="shared" si="1"/>
        <v>0</v>
      </c>
      <c r="Q42" s="309">
        <f>SUMIF(开!$AU$8:$AU$213,B42,开!$AA$8:$AA$213)+SUMIF('续 '!AM$8:AM$198,B42,'续 '!$S$8:$S$198)+SUMIF(竣!AM$8:AM$130,B42,竣!$S$8:$S$130)</f>
        <v>0</v>
      </c>
      <c r="R42" s="309">
        <f>SUMIF(开!$AU$8:$AU$213,B42,开!$AB$8:$AB$213)+SUMIF('续 '!AM$8:AM$198,B42,'续 '!$T$8:$T$198)+SUMIF(竣!AM$8:AM$130,B42,竣!$T$8:$T$130)</f>
        <v>0</v>
      </c>
      <c r="S42" s="309">
        <f>SUMIF(开!$AU$8:$AU$213,B42,开!$BS$8:$BS$213)+SUMIF('续 '!AM$8:AM$198,B42,'续 '!$BQ$8:$BQ$198)+SUMIF(竣!AM$8:AM$130,B42,竣!$BQ$8:$BQ$130)</f>
        <v>0</v>
      </c>
      <c r="T42" s="309">
        <f>SUMIF(开!$AU$8:$AU$213,B42,开!$AC$8:$AC$213)+SUMIF('续 '!AM$8:AM$198,B42,'续 '!$U$8:$U$198)+SUMIF(竣!AM$8:AM$130,B42,竣!$U$8:$U$130)</f>
        <v>0</v>
      </c>
      <c r="U42" s="299">
        <f t="shared" si="3"/>
        <v>0</v>
      </c>
      <c r="V42" s="309">
        <f>SUMIF(开!$AU$8:$AU$213,B42,开!$AD$8:$AD$213)+SUMIF('续 '!AM$8:AM$198,B42,'续 '!$V$8:$V$198)+SUMIF(竣!AM$8:AM$130,B42,竣!$V$8:$V$130)</f>
        <v>0</v>
      </c>
      <c r="W42" s="309">
        <f>SUMIF(开!$AU$8:$AU$213,B42,开!$AE$8:$AE$213)+SUMIF('续 '!AM$8:AM$198,B42,'续 '!$W$8:$W$198)+SUMIF(竣!AM$8:AM$130,B42,竣!$W$8:$W$130)</f>
        <v>0</v>
      </c>
      <c r="X42" s="309">
        <f>SUMIF(开!$AU$8:$AU$213,B42,开!$BR$8:$BR$213)+SUMIF('续 '!AM$8:AM$198,B42,'续 '!$BP$8:$BP$198)+SUMIF(竣!AM$8:AM$130,B42,竣!$BP$8:$BP$130)</f>
        <v>0</v>
      </c>
      <c r="Y42" s="309">
        <f>SUMIF(开!$AU$8:$AU$213,B42,开!$AF$8:$AF$213)+SUMIF('续 '!AM$8:AM$198,B42,'续 '!$X$8:$X$198)+SUMIF(竣!AM$8:AM$130,B42,竣!$X$8:$X$130)</f>
        <v>0</v>
      </c>
      <c r="Z42" s="299">
        <f t="shared" si="4"/>
        <v>0</v>
      </c>
      <c r="AA42" s="309">
        <f>SUMIF(开!$AU$8:$AU$213,B42,开!$AG$8:$AG$213)+SUMIF('续 '!AM$8:AM$198,B42,'续 '!$Y$8:$Y$198)+SUMIF(竣!AM$8:AM$130,B42,竣!$Y$8:$Y$130)</f>
        <v>0</v>
      </c>
      <c r="AB42" s="309">
        <f>SUMIF(开!$AU$8:$AU$213,B42,开!$AH$8:$AH$213)+SUMIF('续 '!AM$8:AM$198,B42,'续 '!$Z$8:$Z$198)+SUMIF(竣!AM$8:AM$130,B42,竣!$Z$8:$Z$130)</f>
        <v>0</v>
      </c>
      <c r="AC42" s="309">
        <f>SUMIF(开!$AU$8:$AU$213,B42,开!$BT$8:$BT$213)+SUMIF('续 '!AM$8:AM$198,B42,'续 '!$BR$8:$BR$198)+SUMIF(竣!AM$8:AM$130,B42,竣!$BR$8:$BR$130)</f>
        <v>0</v>
      </c>
      <c r="AD42" s="309">
        <f>SUMIF(开!$AU$8:$AU$213,B42,开!$AI$8:$AI$213)+SUMIF('续 '!AM$8:AM$198,B42,'续 '!$AA$8:$AA$198)+SUMIF(竣!AM$8:AM$130,B42,竣!$AA$8:$AA$130)</f>
        <v>0</v>
      </c>
      <c r="AE42" s="299">
        <f t="shared" si="5"/>
        <v>0</v>
      </c>
      <c r="AF42" s="309">
        <f>SUMIF(开!$AU$8:$AU$213,B42,开!$AJ$8:$AJ$213)+SUMIF('续 '!AM$8:AM$198,B42,'续 '!$AB$8:$AB$198)+SUMIF(竣!AM$8:AM$130,B42,竣!$AB$8:$AB$130)</f>
        <v>0</v>
      </c>
      <c r="AG42" s="309">
        <f>SUMIF(开!$AU$8:$AU$213,B42,开!$AK$8:$AK$213)+SUMIF('续 '!AM$8:AM$198,B42,'续 '!$AC$8:$AC$198)+SUMIF(竣!AM$8:AM$130,B42,竣!$AC$8:$AC$130)</f>
        <v>0</v>
      </c>
      <c r="AH42" s="309">
        <f>SUMIF(开!$AU$8:$AU$213,B42,开!$BU$8:$BU$213)+SUMIF('续 '!AM$8:AM$198,B42,'续 '!$BS$8:$BS$198)+SUMIF(竣!AM$8:AM$130,B42,竣!$BS$8:$BS$130)</f>
        <v>0</v>
      </c>
      <c r="AI42" s="309">
        <f t="shared" si="6"/>
        <v>0</v>
      </c>
      <c r="AJ42" s="309">
        <f>(SUMIF(开!$AU$8:$AU$213,B42,开!$AL$8:$AL$213)+SUMIF('续 '!AM$8:AM$198,B42,'续 '!$AD$8:$AD$198)+SUMIF(竣!AM$8:AM$130,B42,竣!$AD$8:$AD$130))/10000</f>
        <v>0</v>
      </c>
      <c r="AK42" s="299">
        <f t="shared" si="7"/>
        <v>0</v>
      </c>
      <c r="AL42" s="309">
        <f>(SUMIF(开!$AU$8:$AU$213,B42,开!$AO$8:$AO$213)+SUMIF('续 '!AM$8:AM$198,B42,'续 '!$AF$8:$AF$198)+SUMIF(竣!AM$8:AM$130,B42,竣!$AG$8:$AG$130))/10000</f>
        <v>0</v>
      </c>
      <c r="AM42" s="309">
        <f>(SUMIF(开!$AU$8:$AU$213,B42,开!$AP$8:$AP$213)+SUMIF('续 '!AM$8:AM$198,B42,'续 '!$AH$8:$AH$198)+SUMIF(竣!AM$8:AM$130,B42,竣!$AH$8:$AH$130))/10000</f>
        <v>0</v>
      </c>
      <c r="AN42" s="323"/>
      <c r="AO42" s="323"/>
    </row>
    <row r="43" ht="24.95" customHeight="1" spans="1:41">
      <c r="A43" s="320" t="s">
        <v>2842</v>
      </c>
      <c r="B43" s="321" t="s">
        <v>1107</v>
      </c>
      <c r="C43" s="298">
        <f>单位!F33/10000</f>
        <v>0</v>
      </c>
      <c r="D43" s="323"/>
      <c r="E43" s="323"/>
      <c r="F43" s="299">
        <f>单位!I33</f>
        <v>0</v>
      </c>
      <c r="G43" s="323"/>
      <c r="H43" s="323"/>
      <c r="I43" s="323"/>
      <c r="J43" s="299">
        <f>单位!Y33</f>
        <v>0</v>
      </c>
      <c r="K43" s="323"/>
      <c r="L43" s="323"/>
      <c r="M43" s="323"/>
      <c r="N43" s="309">
        <f>SUMIF(开!$AU$8:$AU$213,B43,开!$BQ$8:$BQ$213)+SUMIF('续 '!$AM$8:$AM$198,B43,'续 '!$BO$8:$BO$198)+SUMIF(竣!$AM$8:$AM$130,B43,竣!$BO$8:$BO$130)</f>
        <v>0</v>
      </c>
      <c r="O43" s="309">
        <f>SUMIF(开!$AU$8:$AU$213,B43,开!$Z$8:$Z$213)+SUMIF('续 '!AM$8:AM$198,B43,'续 '!$R$8:$R$198)+SUMIF(竣!AM$8:AM$130,B43,竣!$R$8:$R$130)</f>
        <v>0</v>
      </c>
      <c r="P43" s="299">
        <f t="shared" si="1"/>
        <v>0</v>
      </c>
      <c r="Q43" s="309">
        <f>SUMIF(开!$AU$8:$AU$213,B43,开!$AA$8:$AA$213)+SUMIF('续 '!AM$8:AM$198,B43,'续 '!$S$8:$S$198)+SUMIF(竣!AM$8:AM$130,B43,竣!$S$8:$S$130)</f>
        <v>0</v>
      </c>
      <c r="R43" s="309">
        <f>SUMIF(开!$AU$8:$AU$213,B43,开!$AB$8:$AB$213)+SUMIF('续 '!AM$8:AM$198,B43,'续 '!$T$8:$T$198)+SUMIF(竣!AM$8:AM$130,B43,竣!$T$8:$T$130)</f>
        <v>0</v>
      </c>
      <c r="S43" s="309">
        <f>SUMIF(开!$AU$8:$AU$213,B43,开!$BS$8:$BS$213)+SUMIF('续 '!AM$8:AM$198,B43,'续 '!$BQ$8:$BQ$198)+SUMIF(竣!AM$8:AM$130,B43,竣!$BQ$8:$BQ$130)</f>
        <v>0</v>
      </c>
      <c r="T43" s="309">
        <f>SUMIF(开!$AU$8:$AU$213,B43,开!$AC$8:$AC$213)+SUMIF('续 '!AM$8:AM$198,B43,'续 '!$U$8:$U$198)+SUMIF(竣!AM$8:AM$130,B43,竣!$U$8:$U$130)</f>
        <v>0</v>
      </c>
      <c r="U43" s="299">
        <f t="shared" si="3"/>
        <v>0</v>
      </c>
      <c r="V43" s="309">
        <f>SUMIF(开!$AU$8:$AU$213,B43,开!$AD$8:$AD$213)+SUMIF('续 '!AM$8:AM$198,B43,'续 '!$V$8:$V$198)+SUMIF(竣!AM$8:AM$130,B43,竣!$V$8:$V$130)</f>
        <v>0</v>
      </c>
      <c r="W43" s="309">
        <f>SUMIF(开!$AU$8:$AU$213,B43,开!$AE$8:$AE$213)+SUMIF('续 '!AM$8:AM$198,B43,'续 '!$W$8:$W$198)+SUMIF(竣!AM$8:AM$130,B43,竣!$W$8:$W$130)</f>
        <v>0</v>
      </c>
      <c r="X43" s="309">
        <f>SUMIF(开!$AU$8:$AU$213,B43,开!$BR$8:$BR$213)+SUMIF('续 '!AM$8:AM$198,B43,'续 '!$BP$8:$BP$198)+SUMIF(竣!AM$8:AM$130,B43,竣!$BP$8:$BP$130)</f>
        <v>2</v>
      </c>
      <c r="Y43" s="309">
        <f>SUMIF(开!$AU$8:$AU$213,B43,开!$AF$8:$AF$213)+SUMIF('续 '!AM$8:AM$198,B43,'续 '!$X$8:$X$198)+SUMIF(竣!AM$8:AM$130,B43,竣!$X$8:$X$130)</f>
        <v>1058.2545</v>
      </c>
      <c r="Z43" s="299">
        <f t="shared" si="4"/>
        <v>1043.2545</v>
      </c>
      <c r="AA43" s="309">
        <f>SUMIF(开!$AU$8:$AU$213,B43,开!$AG$8:$AG$213)+SUMIF('续 '!AM$8:AM$198,B43,'续 '!$Y$8:$Y$198)+SUMIF(竣!AM$8:AM$130,B43,竣!$Y$8:$Y$130)</f>
        <v>1043.2545</v>
      </c>
      <c r="AB43" s="309">
        <f>SUMIF(开!$AU$8:$AU$213,B43,开!$AH$8:$AH$213)+SUMIF('续 '!AM$8:AM$198,B43,'续 '!$Z$8:$Z$198)+SUMIF(竣!AM$8:AM$130,B43,竣!$Z$8:$Z$130)</f>
        <v>15</v>
      </c>
      <c r="AC43" s="309">
        <f>SUMIF(开!$AU$8:$AU$213,B43,开!$BT$8:$BT$213)+SUMIF('续 '!AM$8:AM$198,B43,'续 '!$BR$8:$BR$198)+SUMIF(竣!AM$8:AM$130,B43,竣!$BR$8:$BR$130)</f>
        <v>0</v>
      </c>
      <c r="AD43" s="309">
        <f>SUMIF(开!$AU$8:$AU$213,B43,开!$AI$8:$AI$213)+SUMIF('续 '!AM$8:AM$198,B43,'续 '!$AA$8:$AA$198)+SUMIF(竣!AM$8:AM$130,B43,竣!$AA$8:$AA$130)</f>
        <v>0</v>
      </c>
      <c r="AE43" s="299">
        <f t="shared" si="5"/>
        <v>0</v>
      </c>
      <c r="AF43" s="309">
        <f>SUMIF(开!$AU$8:$AU$213,B43,开!$AJ$8:$AJ$213)+SUMIF('续 '!AM$8:AM$198,B43,'续 '!$AB$8:$AB$198)+SUMIF(竣!AM$8:AM$130,B43,竣!$AB$8:$AB$130)</f>
        <v>0</v>
      </c>
      <c r="AG43" s="309">
        <f>SUMIF(开!$AU$8:$AU$213,B43,开!$AK$8:$AK$213)+SUMIF('续 '!AM$8:AM$198,B43,'续 '!$AC$8:$AC$198)+SUMIF(竣!AM$8:AM$130,B43,竣!$AC$8:$AC$130)</f>
        <v>0</v>
      </c>
      <c r="AH43" s="309">
        <f>SUMIF(开!$AU$8:$AU$213,B43,开!$BU$8:$BU$213)+SUMIF('续 '!AM$8:AM$198,B43,'续 '!$BS$8:$BS$198)+SUMIF(竣!AM$8:AM$130,B43,竣!$BS$8:$BS$130)</f>
        <v>3</v>
      </c>
      <c r="AI43" s="309">
        <f t="shared" si="6"/>
        <v>0</v>
      </c>
      <c r="AJ43" s="309">
        <f>(SUMIF(开!$AU$8:$AU$213,B43,开!$AL$8:$AL$213)+SUMIF('续 '!AM$8:AM$198,B43,'续 '!$AD$8:$AD$198)+SUMIF(竣!AM$8:AM$130,B43,竣!$AD$8:$AD$130))/10000</f>
        <v>1.3332</v>
      </c>
      <c r="AK43" s="299">
        <f t="shared" si="7"/>
        <v>-0.5</v>
      </c>
      <c r="AL43" s="309">
        <f>(SUMIF(开!$AU$8:$AU$213,B43,开!$AO$8:$AO$213)+SUMIF('续 '!AM$8:AM$198,B43,'续 '!$AF$8:$AF$198)+SUMIF(竣!AM$8:AM$130,B43,竣!$AG$8:$AG$130))/10000</f>
        <v>0.8332</v>
      </c>
      <c r="AM43" s="309">
        <f>(SUMIF(开!$AU$8:$AU$213,B43,开!$AP$8:$AP$213)+SUMIF('续 '!AM$8:AM$198,B43,'续 '!$AH$8:$AH$198)+SUMIF(竣!AM$8:AM$130,B43,竣!$AH$8:$AH$130))/10000</f>
        <v>0.5</v>
      </c>
      <c r="AN43" s="323"/>
      <c r="AO43" s="323"/>
    </row>
    <row r="44" ht="24.95" customHeight="1" spans="1:41">
      <c r="A44" s="320" t="s">
        <v>2843</v>
      </c>
      <c r="B44" s="321" t="s">
        <v>88</v>
      </c>
      <c r="C44" s="298">
        <f>单位!F35/10000</f>
        <v>9</v>
      </c>
      <c r="D44" s="323"/>
      <c r="E44" s="323"/>
      <c r="F44" s="299">
        <f>单位!I35</f>
        <v>3</v>
      </c>
      <c r="G44" s="323"/>
      <c r="H44" s="323"/>
      <c r="I44" s="323"/>
      <c r="J44" s="299">
        <f>单位!Y35</f>
        <v>0</v>
      </c>
      <c r="K44" s="323"/>
      <c r="L44" s="323"/>
      <c r="M44" s="323"/>
      <c r="N44" s="309">
        <f>SUMIF(开!$AU$8:$AU$213,B44,开!$BQ$8:$BQ$213)+SUMIF('续 '!$AM$8:$AM$198,B44,'续 '!$BO$8:$BO$198)+SUMIF(竣!$AM$8:$AM$130,B44,竣!$BO$8:$BO$130)</f>
        <v>3</v>
      </c>
      <c r="O44" s="309">
        <f>SUMIF(开!$AU$8:$AU$213,B44,开!$Z$8:$Z$213)+SUMIF('续 '!AM$8:AM$198,B44,'续 '!$R$8:$R$198)+SUMIF(竣!AM$8:AM$130,B44,竣!$R$8:$R$130)</f>
        <v>5539</v>
      </c>
      <c r="P44" s="299">
        <f t="shared" si="1"/>
        <v>5539</v>
      </c>
      <c r="Q44" s="309">
        <f>SUMIF(开!$AU$8:$AU$213,B44,开!$AA$8:$AA$213)+SUMIF('续 '!AM$8:AM$198,B44,'续 '!$S$8:$S$198)+SUMIF(竣!AM$8:AM$130,B44,竣!$S$8:$S$130)</f>
        <v>0</v>
      </c>
      <c r="R44" s="309">
        <f>SUMIF(开!$AU$8:$AU$213,B44,开!$AB$8:$AB$213)+SUMIF('续 '!AM$8:AM$198,B44,'续 '!$T$8:$T$198)+SUMIF(竣!AM$8:AM$130,B44,竣!$T$8:$T$130)</f>
        <v>0</v>
      </c>
      <c r="S44" s="309">
        <f>SUMIF(开!$AU$8:$AU$213,B44,开!$BS$8:$BS$213)+SUMIF('续 '!AM$8:AM$198,B44,'续 '!$BQ$8:$BQ$198)+SUMIF(竣!AM$8:AM$130,B44,竣!$BQ$8:$BQ$130)</f>
        <v>0</v>
      </c>
      <c r="T44" s="309">
        <f>SUMIF(开!$AU$8:$AU$213,B44,开!$AC$8:$AC$213)+SUMIF('续 '!AM$8:AM$198,B44,'续 '!$U$8:$U$198)+SUMIF(竣!AM$8:AM$130,B44,竣!$U$8:$U$130)</f>
        <v>0</v>
      </c>
      <c r="U44" s="299">
        <f t="shared" si="3"/>
        <v>0</v>
      </c>
      <c r="V44" s="309">
        <f>SUMIF(开!$AU$8:$AU$213,B44,开!$AD$8:$AD$213)+SUMIF('续 '!AM$8:AM$198,B44,'续 '!$V$8:$V$198)+SUMIF(竣!AM$8:AM$130,B44,竣!$V$8:$V$130)</f>
        <v>0</v>
      </c>
      <c r="W44" s="309">
        <f>SUMIF(开!$AU$8:$AU$213,B44,开!$AE$8:$AE$213)+SUMIF('续 '!AM$8:AM$198,B44,'续 '!$W$8:$W$198)+SUMIF(竣!AM$8:AM$130,B44,竣!$W$8:$W$130)</f>
        <v>0</v>
      </c>
      <c r="X44" s="309">
        <f>SUMIF(开!$AU$8:$AU$213,B44,开!$BR$8:$BR$213)+SUMIF('续 '!AM$8:AM$198,B44,'续 '!$BP$8:$BP$198)+SUMIF(竣!AM$8:AM$130,B44,竣!$BP$8:$BP$130)</f>
        <v>0</v>
      </c>
      <c r="Y44" s="309">
        <f>SUMIF(开!$AU$8:$AU$213,B44,开!$AF$8:$AF$213)+SUMIF('续 '!AM$8:AM$198,B44,'续 '!$X$8:$X$198)+SUMIF(竣!AM$8:AM$130,B44,竣!$X$8:$X$130)</f>
        <v>0</v>
      </c>
      <c r="Z44" s="299">
        <f t="shared" si="4"/>
        <v>0</v>
      </c>
      <c r="AA44" s="309">
        <f>SUMIF(开!$AU$8:$AU$213,B44,开!$AG$8:$AG$213)+SUMIF('续 '!AM$8:AM$198,B44,'续 '!$Y$8:$Y$198)+SUMIF(竣!AM$8:AM$130,B44,竣!$Y$8:$Y$130)</f>
        <v>0</v>
      </c>
      <c r="AB44" s="309">
        <f>SUMIF(开!$AU$8:$AU$213,B44,开!$AH$8:$AH$213)+SUMIF('续 '!AM$8:AM$198,B44,'续 '!$Z$8:$Z$198)+SUMIF(竣!AM$8:AM$130,B44,竣!$Z$8:$Z$130)</f>
        <v>0</v>
      </c>
      <c r="AC44" s="309">
        <f>SUMIF(开!$AU$8:$AU$213,B44,开!$BT$8:$BT$213)+SUMIF('续 '!AM$8:AM$198,B44,'续 '!$BR$8:$BR$198)+SUMIF(竣!AM$8:AM$130,B44,竣!$BR$8:$BR$130)</f>
        <v>0</v>
      </c>
      <c r="AD44" s="309">
        <f>SUMIF(开!$AU$8:$AU$213,B44,开!$AI$8:$AI$213)+SUMIF('续 '!AM$8:AM$198,B44,'续 '!$AA$8:$AA$198)+SUMIF(竣!AM$8:AM$130,B44,竣!$AA$8:$AA$130)</f>
        <v>0</v>
      </c>
      <c r="AE44" s="299">
        <f t="shared" si="5"/>
        <v>0</v>
      </c>
      <c r="AF44" s="309">
        <f>SUMIF(开!$AU$8:$AU$213,B44,开!$AJ$8:$AJ$213)+SUMIF('续 '!AM$8:AM$198,B44,'续 '!$AB$8:$AB$198)+SUMIF(竣!AM$8:AM$130,B44,竣!$AB$8:$AB$130)</f>
        <v>0</v>
      </c>
      <c r="AG44" s="309">
        <f>SUMIF(开!$AU$8:$AU$213,B44,开!$AK$8:$AK$213)+SUMIF('续 '!AM$8:AM$198,B44,'续 '!$AC$8:$AC$198)+SUMIF(竣!AM$8:AM$130,B44,竣!$AC$8:$AC$130)</f>
        <v>0</v>
      </c>
      <c r="AH44" s="309">
        <f>SUMIF(开!$AU$8:$AU$213,B44,开!$BU$8:$BU$213)+SUMIF('续 '!AM$8:AM$198,B44,'续 '!$BS$8:$BS$198)+SUMIF(竣!AM$8:AM$130,B44,竣!$BS$8:$BS$130)</f>
        <v>0</v>
      </c>
      <c r="AI44" s="309">
        <f t="shared" si="6"/>
        <v>9</v>
      </c>
      <c r="AJ44" s="309">
        <f>(SUMIF(开!$AU$8:$AU$213,B44,开!$AL$8:$AL$213)+SUMIF('续 '!AM$8:AM$198,B44,'续 '!$AD$8:$AD$198)+SUMIF(竣!AM$8:AM$130,B44,竣!$AD$8:$AD$130))/10000</f>
        <v>0</v>
      </c>
      <c r="AK44" s="299">
        <f t="shared" si="7"/>
        <v>9</v>
      </c>
      <c r="AL44" s="309">
        <f>(SUMIF(开!$AU$8:$AU$213,B44,开!$AO$8:$AO$213)+SUMIF('续 '!AM$8:AM$198,B44,'续 '!$AF$8:$AF$198)+SUMIF(竣!AM$8:AM$130,B44,竣!$AG$8:$AG$130))/10000</f>
        <v>0</v>
      </c>
      <c r="AM44" s="309">
        <f>(SUMIF(开!$AU$8:$AU$213,B44,开!$AP$8:$AP$213)+SUMIF('续 '!AM$8:AM$198,B44,'续 '!$AH$8:$AH$198)+SUMIF(竣!AM$8:AM$130,B44,竣!$AH$8:$AH$130))/10000</f>
        <v>0</v>
      </c>
      <c r="AN44" s="323"/>
      <c r="AO44" s="323"/>
    </row>
    <row r="45" ht="33.75" customHeight="1" spans="1:41">
      <c r="A45" s="320" t="s">
        <v>2844</v>
      </c>
      <c r="B45" s="321" t="s">
        <v>1138</v>
      </c>
      <c r="C45" s="298">
        <f>单位!F36/10000</f>
        <v>0.5</v>
      </c>
      <c r="D45" s="323"/>
      <c r="E45" s="323"/>
      <c r="F45" s="299">
        <f>单位!I36</f>
        <v>1</v>
      </c>
      <c r="G45" s="323"/>
      <c r="H45" s="323"/>
      <c r="I45" s="323"/>
      <c r="J45" s="299">
        <f>单位!Y36</f>
        <v>0</v>
      </c>
      <c r="K45" s="323"/>
      <c r="L45" s="323"/>
      <c r="M45" s="323"/>
      <c r="N45" s="309">
        <f>SUMIF(开!$AU$8:$AU$213,B45,开!$BQ$8:$BQ$213)+SUMIF('续 '!$AM$8:$AM$198,B45,'续 '!$BO$8:$BO$198)+SUMIF(竣!$AM$8:$AM$130,B45,竣!$BO$8:$BO$130)</f>
        <v>1</v>
      </c>
      <c r="O45" s="309">
        <f>SUMIF(开!$AU$8:$AU$213,B45,开!$Z$8:$Z$213)+SUMIF('续 '!AM$8:AM$198,B45,'续 '!$R$8:$R$198)+SUMIF(竣!AM$8:AM$130,B45,竣!$R$8:$R$130)</f>
        <v>95</v>
      </c>
      <c r="P45" s="299">
        <f t="shared" si="1"/>
        <v>95</v>
      </c>
      <c r="Q45" s="309">
        <f>SUMIF(开!$AU$8:$AU$213,B45,开!$AA$8:$AA$213)+SUMIF('续 '!AM$8:AM$198,B45,'续 '!$S$8:$S$198)+SUMIF(竣!AM$8:AM$130,B45,竣!$S$8:$S$130)</f>
        <v>0</v>
      </c>
      <c r="R45" s="309">
        <f>SUMIF(开!$AU$8:$AU$213,B45,开!$AB$8:$AB$213)+SUMIF('续 '!AM$8:AM$198,B45,'续 '!$T$8:$T$198)+SUMIF(竣!AM$8:AM$130,B45,竣!$T$8:$T$130)</f>
        <v>0</v>
      </c>
      <c r="S45" s="309">
        <f>SUMIF(开!$AU$8:$AU$213,B45,开!$BS$8:$BS$213)+SUMIF('续 '!AM$8:AM$198,B45,'续 '!$BQ$8:$BQ$198)+SUMIF(竣!AM$8:AM$130,B45,竣!$BQ$8:$BQ$130)</f>
        <v>0</v>
      </c>
      <c r="T45" s="309">
        <f>SUMIF(开!$AU$8:$AU$213,B45,开!$AC$8:$AC$213)+SUMIF('续 '!AM$8:AM$198,B45,'续 '!$U$8:$U$198)+SUMIF(竣!AM$8:AM$130,B45,竣!$U$8:$U$130)</f>
        <v>0</v>
      </c>
      <c r="U45" s="299">
        <f t="shared" si="3"/>
        <v>0</v>
      </c>
      <c r="V45" s="309">
        <f>SUMIF(开!$AU$8:$AU$213,B45,开!$AD$8:$AD$213)+SUMIF('续 '!AM$8:AM$198,B45,'续 '!$V$8:$V$198)+SUMIF(竣!AM$8:AM$130,B45,竣!$V$8:$V$130)</f>
        <v>0</v>
      </c>
      <c r="W45" s="309">
        <f>SUMIF(开!$AU$8:$AU$213,B45,开!$AE$8:$AE$213)+SUMIF('续 '!AM$8:AM$198,B45,'续 '!$W$8:$W$198)+SUMIF(竣!AM$8:AM$130,B45,竣!$W$8:$W$130)</f>
        <v>0</v>
      </c>
      <c r="X45" s="309">
        <f>SUMIF(开!$AU$8:$AU$213,B45,开!$BR$8:$BR$213)+SUMIF('续 '!AM$8:AM$198,B45,'续 '!$BP$8:$BP$198)+SUMIF(竣!AM$8:AM$130,B45,竣!$BP$8:$BP$130)</f>
        <v>0</v>
      </c>
      <c r="Y45" s="309">
        <f>SUMIF(开!$AU$8:$AU$213,B45,开!$AF$8:$AF$213)+SUMIF('续 '!AM$8:AM$198,B45,'续 '!$X$8:$X$198)+SUMIF(竣!AM$8:AM$130,B45,竣!$X$8:$X$130)</f>
        <v>0</v>
      </c>
      <c r="Z45" s="299">
        <f t="shared" si="4"/>
        <v>0</v>
      </c>
      <c r="AA45" s="309">
        <f>SUMIF(开!$AU$8:$AU$213,B45,开!$AG$8:$AG$213)+SUMIF('续 '!AM$8:AM$198,B45,'续 '!$Y$8:$Y$198)+SUMIF(竣!AM$8:AM$130,B45,竣!$Y$8:$Y$130)</f>
        <v>0</v>
      </c>
      <c r="AB45" s="309">
        <f>SUMIF(开!$AU$8:$AU$213,B45,开!$AH$8:$AH$213)+SUMIF('续 '!AM$8:AM$198,B45,'续 '!$Z$8:$Z$198)+SUMIF(竣!AM$8:AM$130,B45,竣!$Z$8:$Z$130)</f>
        <v>0</v>
      </c>
      <c r="AC45" s="309">
        <f>SUMIF(开!$AU$8:$AU$213,B45,开!$BT$8:$BT$213)+SUMIF('续 '!AM$8:AM$198,B45,'续 '!$BR$8:$BR$198)+SUMIF(竣!AM$8:AM$130,B45,竣!$BR$8:$BR$130)</f>
        <v>1</v>
      </c>
      <c r="AD45" s="309">
        <f>SUMIF(开!$AU$8:$AU$213,B45,开!$AI$8:$AI$213)+SUMIF('续 '!AM$8:AM$198,B45,'续 '!$AA$8:$AA$198)+SUMIF(竣!AM$8:AM$130,B45,竣!$AA$8:$AA$130)</f>
        <v>95</v>
      </c>
      <c r="AE45" s="299">
        <f t="shared" si="5"/>
        <v>0</v>
      </c>
      <c r="AF45" s="309">
        <f>SUMIF(开!$AU$8:$AU$213,B45,开!$AJ$8:$AJ$213)+SUMIF('续 '!AM$8:AM$198,B45,'续 '!$AB$8:$AB$198)+SUMIF(竣!AM$8:AM$130,B45,竣!$AB$8:$AB$130)</f>
        <v>0</v>
      </c>
      <c r="AG45" s="309">
        <f>SUMIF(开!$AU$8:$AU$213,B45,开!$AK$8:$AK$213)+SUMIF('续 '!AM$8:AM$198,B45,'续 '!$AC$8:$AC$198)+SUMIF(竣!AM$8:AM$130,B45,竣!$AC$8:$AC$130)</f>
        <v>95</v>
      </c>
      <c r="AH45" s="309">
        <f>SUMIF(开!$AU$8:$AU$213,B45,开!$BU$8:$BU$213)+SUMIF('续 '!AM$8:AM$198,B45,'续 '!$BS$8:$BS$198)+SUMIF(竣!AM$8:AM$130,B45,竣!$BS$8:$BS$130)</f>
        <v>1</v>
      </c>
      <c r="AI45" s="309">
        <f t="shared" si="6"/>
        <v>0.5</v>
      </c>
      <c r="AJ45" s="309">
        <f>(SUMIF(开!$AU$8:$AU$213,B45,开!$AL$8:$AL$213)+SUMIF('续 '!AM$8:AM$198,B45,'续 '!$AD$8:$AD$198)+SUMIF(竣!AM$8:AM$130,B45,竣!$AD$8:$AD$130))/10000</f>
        <v>0.5</v>
      </c>
      <c r="AK45" s="299">
        <f t="shared" si="7"/>
        <v>0.5</v>
      </c>
      <c r="AL45" s="309">
        <f>(SUMIF(开!$AU$8:$AU$213,B45,开!$AO$8:$AO$213)+SUMIF('续 '!AM$8:AM$198,B45,'续 '!$AF$8:$AF$198)+SUMIF(竣!AM$8:AM$130,B45,竣!$AG$8:$AG$130))/10000</f>
        <v>0.5</v>
      </c>
      <c r="AM45" s="309">
        <f>(SUMIF(开!$AU$8:$AU$213,B45,开!$AP$8:$AP$213)+SUMIF('续 '!AM$8:AM$198,B45,'续 '!$AH$8:$AH$198)+SUMIF(竣!AM$8:AM$130,B45,竣!$AH$8:$AH$130))/10000</f>
        <v>0</v>
      </c>
      <c r="AN45" s="323"/>
      <c r="AO45" s="323"/>
    </row>
    <row r="46" ht="20.1" customHeight="1" spans="1:41">
      <c r="A46" s="320" t="s">
        <v>2845</v>
      </c>
      <c r="B46" s="321" t="s">
        <v>1843</v>
      </c>
      <c r="C46" s="298">
        <f>单位!F37/10000</f>
        <v>1.3</v>
      </c>
      <c r="D46" s="323"/>
      <c r="E46" s="323"/>
      <c r="F46" s="299">
        <f>单位!I37</f>
        <v>0</v>
      </c>
      <c r="G46" s="323"/>
      <c r="H46" s="323"/>
      <c r="I46" s="323"/>
      <c r="J46" s="299">
        <f>单位!Y37</f>
        <v>0</v>
      </c>
      <c r="K46" s="323"/>
      <c r="L46" s="323"/>
      <c r="M46" s="323"/>
      <c r="N46" s="309">
        <f>SUMIF(开!$AU$8:$AU$213,B46,开!$BQ$8:$BQ$213)+SUMIF('续 '!$AM$8:$AM$198,B46,'续 '!$BO$8:$BO$198)+SUMIF(竣!$AM$8:$AM$130,B46,竣!$BO$8:$BO$130)</f>
        <v>1</v>
      </c>
      <c r="O46" s="309">
        <f>SUMIF(开!$AU$8:$AU$213,B46,开!$Z$8:$Z$213)+SUMIF('续 '!AM$8:AM$198,B46,'续 '!$R$8:$R$198)+SUMIF(竣!AM$8:AM$130,B46,竣!$R$8:$R$130)</f>
        <v>250.02</v>
      </c>
      <c r="P46" s="299">
        <f t="shared" si="1"/>
        <v>136.02</v>
      </c>
      <c r="Q46" s="309">
        <f>SUMIF(开!$AU$8:$AU$213,B46,开!$AA$8:$AA$213)+SUMIF('续 '!AM$8:AM$198,B46,'续 '!$S$8:$S$198)+SUMIF(竣!AM$8:AM$130,B46,竣!$S$8:$S$130)</f>
        <v>136</v>
      </c>
      <c r="R46" s="309">
        <f>SUMIF(开!$AU$8:$AU$213,B46,开!$AB$8:$AB$213)+SUMIF('续 '!AM$8:AM$198,B46,'续 '!$T$8:$T$198)+SUMIF(竣!AM$8:AM$130,B46,竣!$T$8:$T$130)</f>
        <v>114</v>
      </c>
      <c r="S46" s="309">
        <f>SUMIF(开!$AU$8:$AU$213,B46,开!$BS$8:$BS$213)+SUMIF('续 '!AM$8:AM$198,B46,'续 '!$BQ$8:$BQ$198)+SUMIF(竣!AM$8:AM$130,B46,竣!$BQ$8:$BQ$130)</f>
        <v>0</v>
      </c>
      <c r="T46" s="309">
        <f>SUMIF(开!$AU$8:$AU$213,B46,开!$AC$8:$AC$213)+SUMIF('续 '!AM$8:AM$198,B46,'续 '!$U$8:$U$198)+SUMIF(竣!AM$8:AM$130,B46,竣!$U$8:$U$130)</f>
        <v>0</v>
      </c>
      <c r="U46" s="299">
        <f t="shared" si="3"/>
        <v>0</v>
      </c>
      <c r="V46" s="309">
        <f>SUMIF(开!$AU$8:$AU$213,B46,开!$AD$8:$AD$213)+SUMIF('续 '!AM$8:AM$198,B46,'续 '!$V$8:$V$198)+SUMIF(竣!AM$8:AM$130,B46,竣!$V$8:$V$130)</f>
        <v>0</v>
      </c>
      <c r="W46" s="309">
        <f>SUMIF(开!$AU$8:$AU$213,B46,开!$AE$8:$AE$213)+SUMIF('续 '!AM$8:AM$198,B46,'续 '!$W$8:$W$198)+SUMIF(竣!AM$8:AM$130,B46,竣!$W$8:$W$130)</f>
        <v>0</v>
      </c>
      <c r="X46" s="309">
        <f>SUMIF(开!$AU$8:$AU$213,B46,开!$BR$8:$BR$213)+SUMIF('续 '!AM$8:AM$198,B46,'续 '!$BP$8:$BP$198)+SUMIF(竣!AM$8:AM$130,B46,竣!$BP$8:$BP$130)</f>
        <v>0</v>
      </c>
      <c r="Y46" s="309">
        <f>SUMIF(开!$AU$8:$AU$213,B46,开!$AF$8:$AF$213)+SUMIF('续 '!AM$8:AM$198,B46,'续 '!$X$8:$X$198)+SUMIF(竣!AM$8:AM$130,B46,竣!$X$8:$X$130)</f>
        <v>0</v>
      </c>
      <c r="Z46" s="299">
        <f t="shared" si="4"/>
        <v>0</v>
      </c>
      <c r="AA46" s="309">
        <f>SUMIF(开!$AU$8:$AU$213,B46,开!$AG$8:$AG$213)+SUMIF('续 '!AM$8:AM$198,B46,'续 '!$Y$8:$Y$198)+SUMIF(竣!AM$8:AM$130,B46,竣!$Y$8:$Y$130)</f>
        <v>0</v>
      </c>
      <c r="AB46" s="309">
        <f>SUMIF(开!$AU$8:$AU$213,B46,开!$AH$8:$AH$213)+SUMIF('续 '!AM$8:AM$198,B46,'续 '!$Z$8:$Z$198)+SUMIF(竣!AM$8:AM$130,B46,竣!$Z$8:$Z$130)</f>
        <v>0</v>
      </c>
      <c r="AC46" s="309">
        <f>SUMIF(开!$AU$8:$AU$213,B46,开!$BT$8:$BT$213)+SUMIF('续 '!AM$8:AM$198,B46,'续 '!$BR$8:$BR$198)+SUMIF(竣!AM$8:AM$130,B46,竣!$BR$8:$BR$130)</f>
        <v>1</v>
      </c>
      <c r="AD46" s="309">
        <f>SUMIF(开!$AU$8:$AU$213,B46,开!$AI$8:$AI$213)+SUMIF('续 '!AM$8:AM$198,B46,'续 '!$AA$8:$AA$198)+SUMIF(竣!AM$8:AM$130,B46,竣!$AA$8:$AA$130)</f>
        <v>8</v>
      </c>
      <c r="AE46" s="299">
        <f t="shared" si="5"/>
        <v>0</v>
      </c>
      <c r="AF46" s="309">
        <f>SUMIF(开!$AU$8:$AU$213,B46,开!$AJ$8:$AJ$213)+SUMIF('续 '!AM$8:AM$198,B46,'续 '!$AB$8:$AB$198)+SUMIF(竣!AM$8:AM$130,B46,竣!$AB$8:$AB$130)</f>
        <v>0</v>
      </c>
      <c r="AG46" s="309">
        <f>SUMIF(开!$AU$8:$AU$213,B46,开!$AK$8:$AK$213)+SUMIF('续 '!AM$8:AM$198,B46,'续 '!$AC$8:$AC$198)+SUMIF(竣!AM$8:AM$130,B46,竣!$AC$8:$AC$130)</f>
        <v>8</v>
      </c>
      <c r="AH46" s="309">
        <f>SUMIF(开!$AU$8:$AU$213,B46,开!$BU$8:$BU$213)+SUMIF('续 '!AM$8:AM$198,B46,'续 '!$BS$8:$BS$198)+SUMIF(竣!AM$8:AM$130,B46,竣!$BS$8:$BS$130)</f>
        <v>1</v>
      </c>
      <c r="AI46" s="309">
        <f t="shared" si="6"/>
        <v>1.3</v>
      </c>
      <c r="AJ46" s="309">
        <f>(SUMIF(开!$AU$8:$AU$213,B46,开!$AL$8:$AL$213)+SUMIF('续 '!AM$8:AM$198,B46,'续 '!$AD$8:$AD$198)+SUMIF(竣!AM$8:AM$130,B46,竣!$AD$8:$AD$130))/10000</f>
        <v>1.3</v>
      </c>
      <c r="AK46" s="299">
        <f t="shared" si="7"/>
        <v>0.4</v>
      </c>
      <c r="AL46" s="309">
        <f>(SUMIF(开!$AU$8:$AU$213,B46,开!$AO$8:$AO$213)+SUMIF('续 '!AM$8:AM$198,B46,'续 '!$AF$8:$AF$198)+SUMIF(竣!AM$8:AM$130,B46,竣!$AG$8:$AG$130))/10000</f>
        <v>0.4</v>
      </c>
      <c r="AM46" s="309">
        <f>(SUMIF(开!$AU$8:$AU$213,B46,开!$AP$8:$AP$213)+SUMIF('续 '!AM$8:AM$198,B46,'续 '!$AH$8:$AH$198)+SUMIF(竣!AM$8:AM$130,B46,竣!$AH$8:$AH$130))/10000</f>
        <v>0.9</v>
      </c>
      <c r="AN46" s="323"/>
      <c r="AO46" s="323"/>
    </row>
    <row r="47" ht="20.1" customHeight="1" spans="1:41">
      <c r="A47" s="320" t="s">
        <v>2846</v>
      </c>
      <c r="B47" s="321" t="s">
        <v>1759</v>
      </c>
      <c r="C47" s="298">
        <f>单位!F38/10000</f>
        <v>0.194</v>
      </c>
      <c r="D47" s="323"/>
      <c r="E47" s="323"/>
      <c r="F47" s="299">
        <f>单位!I38</f>
        <v>0</v>
      </c>
      <c r="G47" s="323"/>
      <c r="H47" s="323"/>
      <c r="I47" s="323"/>
      <c r="J47" s="299">
        <f>单位!Y38</f>
        <v>1</v>
      </c>
      <c r="K47" s="323"/>
      <c r="L47" s="323"/>
      <c r="M47" s="323"/>
      <c r="N47" s="309">
        <f>SUMIF(开!$AU$8:$AU$213,B47,开!$BQ$8:$BQ$213)+SUMIF('续 '!$AM$8:$AM$198,B47,'续 '!$BO$8:$BO$198)+SUMIF(竣!$AM$8:$AM$130,B47,竣!$BO$8:$BO$130)</f>
        <v>1</v>
      </c>
      <c r="O47" s="309">
        <f>SUMIF(开!$AU$8:$AU$213,B47,开!$Z$8:$Z$213)+SUMIF('续 '!AM$8:AM$198,B47,'续 '!$R$8:$R$198)+SUMIF(竣!AM$8:AM$130,B47,竣!$R$8:$R$130)</f>
        <v>110</v>
      </c>
      <c r="P47" s="299">
        <f t="shared" si="1"/>
        <v>110</v>
      </c>
      <c r="Q47" s="309">
        <f>SUMIF(开!$AU$8:$AU$213,B47,开!$AA$8:$AA$213)+SUMIF('续 '!AM$8:AM$198,B47,'续 '!$S$8:$S$198)+SUMIF(竣!AM$8:AM$130,B47,竣!$S$8:$S$130)</f>
        <v>110</v>
      </c>
      <c r="R47" s="309">
        <f>SUMIF(开!$AU$8:$AU$213,B47,开!$AB$8:$AB$213)+SUMIF('续 '!AM$8:AM$198,B47,'续 '!$T$8:$T$198)+SUMIF(竣!AM$8:AM$130,B47,竣!$T$8:$T$130)</f>
        <v>0</v>
      </c>
      <c r="S47" s="309">
        <f>SUMIF(开!$AU$8:$AU$213,B47,开!$BS$8:$BS$213)+SUMIF('续 '!AM$8:AM$198,B47,'续 '!$BQ$8:$BQ$198)+SUMIF(竣!AM$8:AM$130,B47,竣!$BQ$8:$BQ$130)</f>
        <v>0</v>
      </c>
      <c r="T47" s="309">
        <f>SUMIF(开!$AU$8:$AU$213,B47,开!$AC$8:$AC$213)+SUMIF('续 '!AM$8:AM$198,B47,'续 '!$U$8:$U$198)+SUMIF(竣!AM$8:AM$130,B47,竣!$U$8:$U$130)</f>
        <v>0</v>
      </c>
      <c r="U47" s="299">
        <f t="shared" si="3"/>
        <v>0</v>
      </c>
      <c r="V47" s="309">
        <f>SUMIF(开!$AU$8:$AU$213,B47,开!$AD$8:$AD$213)+SUMIF('续 '!AM$8:AM$198,B47,'续 '!$V$8:$V$198)+SUMIF(竣!AM$8:AM$130,B47,竣!$V$8:$V$130)</f>
        <v>0</v>
      </c>
      <c r="W47" s="309">
        <f>SUMIF(开!$AU$8:$AU$213,B47,开!$AE$8:$AE$213)+SUMIF('续 '!AM$8:AM$198,B47,'续 '!$W$8:$W$198)+SUMIF(竣!AM$8:AM$130,B47,竣!$W$8:$W$130)</f>
        <v>0</v>
      </c>
      <c r="X47" s="309">
        <f>SUMIF(开!$AU$8:$AU$213,B47,开!$BR$8:$BR$213)+SUMIF('续 '!AM$8:AM$198,B47,'续 '!$BP$8:$BP$198)+SUMIF(竣!AM$8:AM$130,B47,竣!$BP$8:$BP$130)</f>
        <v>0</v>
      </c>
      <c r="Y47" s="309">
        <f>SUMIF(开!$AU$8:$AU$213,B47,开!$AF$8:$AF$213)+SUMIF('续 '!AM$8:AM$198,B47,'续 '!$X$8:$X$198)+SUMIF(竣!AM$8:AM$130,B47,竣!$X$8:$X$130)</f>
        <v>0</v>
      </c>
      <c r="Z47" s="299">
        <f t="shared" si="4"/>
        <v>0</v>
      </c>
      <c r="AA47" s="309">
        <f>SUMIF(开!$AU$8:$AU$213,B47,开!$AG$8:$AG$213)+SUMIF('续 '!AM$8:AM$198,B47,'续 '!$Y$8:$Y$198)+SUMIF(竣!AM$8:AM$130,B47,竣!$Y$8:$Y$130)</f>
        <v>0</v>
      </c>
      <c r="AB47" s="309">
        <f>SUMIF(开!$AU$8:$AU$213,B47,开!$AH$8:$AH$213)+SUMIF('续 '!AM$8:AM$198,B47,'续 '!$Z$8:$Z$198)+SUMIF(竣!AM$8:AM$130,B47,竣!$Z$8:$Z$130)</f>
        <v>0</v>
      </c>
      <c r="AC47" s="309">
        <f>SUMIF(开!$AU$8:$AU$213,B47,开!$BT$8:$BT$213)+SUMIF('续 '!AM$8:AM$198,B47,'续 '!$BR$8:$BR$198)+SUMIF(竣!AM$8:AM$130,B47,竣!$BR$8:$BR$130)</f>
        <v>0</v>
      </c>
      <c r="AD47" s="309">
        <f>SUMIF(开!$AU$8:$AU$213,B47,开!$AI$8:$AI$213)+SUMIF('续 '!AM$8:AM$198,B47,'续 '!$AA$8:$AA$198)+SUMIF(竣!AM$8:AM$130,B47,竣!$AA$8:$AA$130)</f>
        <v>0</v>
      </c>
      <c r="AE47" s="299">
        <f t="shared" si="5"/>
        <v>0</v>
      </c>
      <c r="AF47" s="309">
        <f>SUMIF(开!$AU$8:$AU$213,B47,开!$AJ$8:$AJ$213)+SUMIF('续 '!AM$8:AM$198,B47,'续 '!$AB$8:$AB$198)+SUMIF(竣!AM$8:AM$130,B47,竣!$AB$8:$AB$130)</f>
        <v>0</v>
      </c>
      <c r="AG47" s="309">
        <f>SUMIF(开!$AU$8:$AU$213,B47,开!$AK$8:$AK$213)+SUMIF('续 '!AM$8:AM$198,B47,'续 '!$AC$8:$AC$198)+SUMIF(竣!AM$8:AM$130,B47,竣!$AC$8:$AC$130)</f>
        <v>0</v>
      </c>
      <c r="AH47" s="309">
        <f>SUMIF(开!$AU$8:$AU$213,B47,开!$BU$8:$BU$213)+SUMIF('续 '!AM$8:AM$198,B47,'续 '!$BS$8:$BS$198)+SUMIF(竣!AM$8:AM$130,B47,竣!$BS$8:$BS$130)</f>
        <v>1</v>
      </c>
      <c r="AI47" s="309">
        <f t="shared" si="6"/>
        <v>0.194</v>
      </c>
      <c r="AJ47" s="309">
        <f>(SUMIF(开!$AU$8:$AU$213,B47,开!$AL$8:$AL$213)+SUMIF('续 '!AM$8:AM$198,B47,'续 '!$AD$8:$AD$198)+SUMIF(竣!AM$8:AM$130,B47,竣!$AD$8:$AD$130))/10000</f>
        <v>0.194</v>
      </c>
      <c r="AK47" s="299">
        <f t="shared" si="7"/>
        <v>0</v>
      </c>
      <c r="AL47" s="309">
        <f>(SUMIF(开!$AU$8:$AU$213,B47,开!$AO$8:$AO$213)+SUMIF('续 '!AM$8:AM$198,B47,'续 '!$AF$8:$AF$198)+SUMIF(竣!AM$8:AM$130,B47,竣!$AG$8:$AG$130))/10000</f>
        <v>0</v>
      </c>
      <c r="AM47" s="309">
        <f>(SUMIF(开!$AU$8:$AU$213,B47,开!$AP$8:$AP$213)+SUMIF('续 '!AM$8:AM$198,B47,'续 '!$AH$8:$AH$198)+SUMIF(竣!AM$8:AM$130,B47,竣!$AH$8:$AH$130))/10000</f>
        <v>0.194</v>
      </c>
      <c r="AN47" s="323"/>
      <c r="AO47" s="323"/>
    </row>
    <row r="49" spans="14:39">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row>
    <row r="50" spans="14:39">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row>
  </sheetData>
  <mergeCells count="21">
    <mergeCell ref="A1:AO1"/>
    <mergeCell ref="AN2:AO2"/>
    <mergeCell ref="C3:AM3"/>
    <mergeCell ref="AN3:AO3"/>
    <mergeCell ref="C4:E4"/>
    <mergeCell ref="F4:I4"/>
    <mergeCell ref="J4:M4"/>
    <mergeCell ref="N4:R4"/>
    <mergeCell ref="S4:W4"/>
    <mergeCell ref="X4:AB4"/>
    <mergeCell ref="AC4:AG4"/>
    <mergeCell ref="AH4:AM4"/>
    <mergeCell ref="AR4:AV4"/>
    <mergeCell ref="AR14:AT14"/>
    <mergeCell ref="AU14:AW14"/>
    <mergeCell ref="AX14:AZ14"/>
    <mergeCell ref="BA14:BC14"/>
    <mergeCell ref="A3:A5"/>
    <mergeCell ref="B3:B5"/>
    <mergeCell ref="AN4:AN5"/>
    <mergeCell ref="AO4:AO5"/>
  </mergeCells>
  <pageMargins left="0.698611111111111" right="0.698611111111111" top="0.75" bottom="0.75" header="0.3" footer="0.3"/>
  <pageSetup paperSize="8" scale="71" firstPageNumber="4294963191" fitToHeight="0" orientation="landscape" useFirstPageNumber="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O28"/>
  <sheetViews>
    <sheetView zoomScale="70" zoomScaleNormal="70" topLeftCell="A2" workbookViewId="0">
      <selection activeCell="M31" sqref="M31"/>
    </sheetView>
  </sheetViews>
  <sheetFormatPr defaultColWidth="9" defaultRowHeight="12"/>
  <cols>
    <col min="1" max="1" width="18.5714285714286" style="278" customWidth="1"/>
    <col min="2" max="2" width="18.5714285714286" style="279" hidden="1" customWidth="1"/>
    <col min="3" max="3" width="10.8571428571429" style="278" customWidth="1"/>
    <col min="4" max="4" width="11" style="278" customWidth="1"/>
    <col min="5" max="5" width="8.42857142857143" style="278" customWidth="1"/>
    <col min="6" max="6" width="7.57142857142857" style="278" customWidth="1"/>
    <col min="7" max="7" width="7.85714285714286" style="278" customWidth="1"/>
    <col min="8" max="9" width="8.42857142857143" style="278" customWidth="1"/>
    <col min="10" max="10" width="7.85714285714286" style="278" customWidth="1"/>
    <col min="11" max="11" width="7.42857142857143" style="278" customWidth="1"/>
    <col min="12" max="12" width="8.42857142857143" style="278" customWidth="1"/>
    <col min="13" max="13" width="8.85714285714286" style="278" customWidth="1"/>
    <col min="14" max="14" width="8.85714285714286" style="280" customWidth="1"/>
    <col min="15" max="15" width="11" style="278" customWidth="1"/>
    <col min="16" max="16" width="10.4285714285714" style="278" customWidth="1"/>
    <col min="17" max="17" width="9.71428571428571" style="278" hidden="1" customWidth="1"/>
    <col min="18" max="18" width="10.4285714285714" style="278" customWidth="1"/>
    <col min="19" max="19" width="8.57142857142857" style="280" customWidth="1"/>
    <col min="20" max="21" width="9.71428571428571" style="278" customWidth="1"/>
    <col min="22" max="22" width="9.85714285714286" style="278" hidden="1" customWidth="1"/>
    <col min="23" max="23" width="8.42857142857143" style="278" customWidth="1"/>
    <col min="24" max="24" width="8.28571428571429" style="280" customWidth="1"/>
    <col min="25" max="25" width="8.42857142857143" style="278" customWidth="1"/>
    <col min="26" max="26" width="9.71428571428571" style="278" customWidth="1"/>
    <col min="27" max="27" width="8.42857142857143" style="278" hidden="1" customWidth="1"/>
    <col min="28" max="28" width="8.42857142857143" style="278" customWidth="1"/>
    <col min="29" max="29" width="8.42857142857143" style="280" customWidth="1"/>
    <col min="30" max="31" width="10.2857142857143" style="278" customWidth="1"/>
    <col min="32" max="32" width="10" style="278" hidden="1" customWidth="1"/>
    <col min="33" max="33" width="10.2857142857143" style="278" customWidth="1"/>
    <col min="34" max="34" width="11" style="278" hidden="1" customWidth="1"/>
    <col min="35" max="35" width="8.57142857142857" style="280" customWidth="1"/>
    <col min="36" max="36" width="9.14285714285714" style="278" customWidth="1"/>
    <col min="37" max="37" width="8.57142857142857" style="278" customWidth="1"/>
    <col min="38" max="38" width="8.42857142857143" style="278" hidden="1" customWidth="1"/>
    <col min="39" max="40" width="8.42857142857143" style="278" customWidth="1"/>
    <col min="41" max="41" width="8.42857142857143" style="281" customWidth="1"/>
    <col min="42" max="16384" width="9.14285714285714" style="278"/>
  </cols>
  <sheetData>
    <row r="1" ht="67.5" customHeight="1" spans="1:41">
      <c r="A1" s="282" t="s">
        <v>2847</v>
      </c>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row>
    <row r="2" ht="19.5" customHeight="1" spans="2:41">
      <c r="B2" s="283" t="s">
        <v>4</v>
      </c>
      <c r="Q2" s="283" t="s">
        <v>4</v>
      </c>
      <c r="V2" s="283" t="s">
        <v>4</v>
      </c>
      <c r="AA2" s="283" t="s">
        <v>4</v>
      </c>
      <c r="AF2" s="283" t="s">
        <v>4</v>
      </c>
      <c r="AH2" s="283" t="s">
        <v>4</v>
      </c>
      <c r="AI2" s="283"/>
      <c r="AL2" s="283" t="s">
        <v>4</v>
      </c>
      <c r="AN2" s="310" t="s">
        <v>2795</v>
      </c>
      <c r="AO2" s="310"/>
    </row>
    <row r="3" ht="39.75" customHeight="1" spans="1:41">
      <c r="A3" s="284" t="s">
        <v>2848</v>
      </c>
      <c r="B3" s="284" t="s">
        <v>2849</v>
      </c>
      <c r="C3" s="285" t="s">
        <v>2798</v>
      </c>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8"/>
      <c r="AN3" s="290" t="s">
        <v>2799</v>
      </c>
      <c r="AO3" s="290"/>
    </row>
    <row r="4" ht="39.75" customHeight="1" spans="1:41">
      <c r="A4" s="287"/>
      <c r="B4" s="287"/>
      <c r="C4" s="285" t="s">
        <v>2800</v>
      </c>
      <c r="D4" s="286"/>
      <c r="E4" s="288"/>
      <c r="F4" s="285" t="s">
        <v>2801</v>
      </c>
      <c r="G4" s="286"/>
      <c r="H4" s="286"/>
      <c r="I4" s="288"/>
      <c r="J4" s="285" t="s">
        <v>2802</v>
      </c>
      <c r="K4" s="286"/>
      <c r="L4" s="286"/>
      <c r="M4" s="288"/>
      <c r="N4" s="302" t="s">
        <v>17</v>
      </c>
      <c r="O4" s="303"/>
      <c r="P4" s="303"/>
      <c r="Q4" s="303"/>
      <c r="R4" s="306"/>
      <c r="S4" s="302" t="s">
        <v>18</v>
      </c>
      <c r="T4" s="303"/>
      <c r="U4" s="303"/>
      <c r="V4" s="303"/>
      <c r="W4" s="306"/>
      <c r="X4" s="302" t="s">
        <v>19</v>
      </c>
      <c r="Y4" s="303"/>
      <c r="Z4" s="303"/>
      <c r="AA4" s="303"/>
      <c r="AB4" s="306"/>
      <c r="AC4" s="302" t="s">
        <v>20</v>
      </c>
      <c r="AD4" s="303"/>
      <c r="AE4" s="303"/>
      <c r="AF4" s="303"/>
      <c r="AG4" s="306"/>
      <c r="AH4" s="307" t="s">
        <v>2803</v>
      </c>
      <c r="AI4" s="307"/>
      <c r="AJ4" s="307"/>
      <c r="AK4" s="307"/>
      <c r="AL4" s="307"/>
      <c r="AM4" s="307"/>
      <c r="AN4" s="290" t="s">
        <v>2804</v>
      </c>
      <c r="AO4" s="313" t="s">
        <v>2805</v>
      </c>
    </row>
    <row r="5" ht="50.25" customHeight="1" spans="1:41">
      <c r="A5" s="289"/>
      <c r="B5" s="289"/>
      <c r="C5" s="290" t="s">
        <v>1709</v>
      </c>
      <c r="D5" s="290" t="s">
        <v>2806</v>
      </c>
      <c r="E5" s="290" t="s">
        <v>2807</v>
      </c>
      <c r="F5" s="290" t="s">
        <v>2808</v>
      </c>
      <c r="G5" s="290" t="s">
        <v>2809</v>
      </c>
      <c r="H5" s="290" t="s">
        <v>2810</v>
      </c>
      <c r="I5" s="290" t="s">
        <v>2811</v>
      </c>
      <c r="J5" s="290" t="s">
        <v>2812</v>
      </c>
      <c r="K5" s="290" t="s">
        <v>2813</v>
      </c>
      <c r="L5" s="290" t="s">
        <v>2814</v>
      </c>
      <c r="M5" s="290" t="s">
        <v>2815</v>
      </c>
      <c r="N5" s="304" t="s">
        <v>2816</v>
      </c>
      <c r="O5" s="304" t="s">
        <v>59</v>
      </c>
      <c r="P5" s="304" t="s">
        <v>60</v>
      </c>
      <c r="Q5" s="304" t="s">
        <v>60</v>
      </c>
      <c r="R5" s="304" t="s">
        <v>61</v>
      </c>
      <c r="S5" s="307" t="s">
        <v>2816</v>
      </c>
      <c r="T5" s="304" t="s">
        <v>62</v>
      </c>
      <c r="U5" s="304" t="s">
        <v>63</v>
      </c>
      <c r="V5" s="304" t="s">
        <v>63</v>
      </c>
      <c r="W5" s="304" t="s">
        <v>61</v>
      </c>
      <c r="X5" s="307" t="s">
        <v>2816</v>
      </c>
      <c r="Y5" s="304" t="s">
        <v>64</v>
      </c>
      <c r="Z5" s="304" t="s">
        <v>65</v>
      </c>
      <c r="AA5" s="304" t="s">
        <v>65</v>
      </c>
      <c r="AB5" s="304" t="s">
        <v>61</v>
      </c>
      <c r="AC5" s="307" t="s">
        <v>2816</v>
      </c>
      <c r="AD5" s="304" t="s">
        <v>66</v>
      </c>
      <c r="AE5" s="304" t="s">
        <v>2817</v>
      </c>
      <c r="AF5" s="304" t="s">
        <v>2817</v>
      </c>
      <c r="AG5" s="304" t="s">
        <v>68</v>
      </c>
      <c r="AH5" s="304" t="s">
        <v>1709</v>
      </c>
      <c r="AI5" s="307" t="s">
        <v>2816</v>
      </c>
      <c r="AJ5" s="304" t="s">
        <v>1709</v>
      </c>
      <c r="AK5" s="304" t="s">
        <v>2818</v>
      </c>
      <c r="AL5" s="304" t="s">
        <v>2818</v>
      </c>
      <c r="AM5" s="304" t="s">
        <v>2819</v>
      </c>
      <c r="AN5" s="290"/>
      <c r="AO5" s="313"/>
    </row>
    <row r="6" s="275" customFormat="1" ht="20.1" customHeight="1" spans="1:41">
      <c r="A6" s="291" t="s">
        <v>2820</v>
      </c>
      <c r="B6" s="292"/>
      <c r="C6" s="293">
        <f>C7+C8+C12+C15+C16+C17+C21+C26</f>
        <v>332.1353886</v>
      </c>
      <c r="D6" s="293"/>
      <c r="E6" s="293"/>
      <c r="F6" s="294">
        <f>F7+F8+F12+F15+F16+F17+F21+F26</f>
        <v>168</v>
      </c>
      <c r="G6" s="294"/>
      <c r="H6" s="294"/>
      <c r="I6" s="294"/>
      <c r="J6" s="294">
        <f>J7+J8+J12+J15+J16+J17+J21+J26</f>
        <v>89</v>
      </c>
      <c r="K6" s="294"/>
      <c r="L6" s="294"/>
      <c r="M6" s="294"/>
      <c r="N6" s="294">
        <f t="shared" ref="N6:AM6" si="0">N7+N8+N12+N15+N16+N17+N21+N26</f>
        <v>223</v>
      </c>
      <c r="O6" s="294">
        <f t="shared" si="0"/>
        <v>108810.6847</v>
      </c>
      <c r="P6" s="294">
        <f t="shared" si="0"/>
        <v>44953.4858</v>
      </c>
      <c r="Q6" s="294">
        <f t="shared" si="0"/>
        <v>38809.5613</v>
      </c>
      <c r="R6" s="294">
        <f t="shared" si="0"/>
        <v>63857.1989</v>
      </c>
      <c r="S6" s="294">
        <f t="shared" si="0"/>
        <v>68</v>
      </c>
      <c r="T6" s="294">
        <f t="shared" si="0"/>
        <v>26835.3005</v>
      </c>
      <c r="U6" s="294">
        <f t="shared" si="0"/>
        <v>16781.4005</v>
      </c>
      <c r="V6" s="294">
        <f t="shared" si="0"/>
        <v>16643.3225</v>
      </c>
      <c r="W6" s="294">
        <f t="shared" si="0"/>
        <v>10053.9</v>
      </c>
      <c r="X6" s="294">
        <f t="shared" si="0"/>
        <v>10</v>
      </c>
      <c r="Y6" s="294">
        <f t="shared" si="0"/>
        <v>5478.0545</v>
      </c>
      <c r="Z6" s="294">
        <f t="shared" si="0"/>
        <v>3704.2545</v>
      </c>
      <c r="AA6" s="294">
        <f t="shared" si="0"/>
        <v>3704.2545</v>
      </c>
      <c r="AB6" s="294">
        <f t="shared" si="0"/>
        <v>1773.8</v>
      </c>
      <c r="AC6" s="294">
        <f t="shared" si="0"/>
        <v>110</v>
      </c>
      <c r="AD6" s="294">
        <f t="shared" si="0"/>
        <v>44065.4739</v>
      </c>
      <c r="AE6" s="294">
        <f t="shared" si="0"/>
        <v>23986.8609</v>
      </c>
      <c r="AF6" s="294">
        <f t="shared" si="0"/>
        <v>23886.9109</v>
      </c>
      <c r="AG6" s="294">
        <f t="shared" si="0"/>
        <v>20078.613</v>
      </c>
      <c r="AH6" s="294">
        <f t="shared" si="0"/>
        <v>126.1415</v>
      </c>
      <c r="AI6" s="294">
        <f t="shared" si="0"/>
        <v>181</v>
      </c>
      <c r="AJ6" s="294">
        <f t="shared" si="0"/>
        <v>332.1353886</v>
      </c>
      <c r="AK6" s="294">
        <f t="shared" si="0"/>
        <v>264.3585886</v>
      </c>
      <c r="AL6" s="294">
        <f t="shared" si="0"/>
        <v>61.5324</v>
      </c>
      <c r="AM6" s="294">
        <f t="shared" si="0"/>
        <v>67.7768</v>
      </c>
      <c r="AN6" s="311"/>
      <c r="AO6" s="314"/>
    </row>
    <row r="7" s="276" customFormat="1" ht="20.1" customHeight="1" spans="1:41">
      <c r="A7" s="295" t="s">
        <v>2850</v>
      </c>
      <c r="B7" s="292" t="s">
        <v>91</v>
      </c>
      <c r="C7" s="293">
        <f>(行业!F8+行业!F18)/10000</f>
        <v>155.7752</v>
      </c>
      <c r="D7" s="293"/>
      <c r="E7" s="293"/>
      <c r="F7" s="294">
        <f>行业!J8+行业!J18</f>
        <v>60</v>
      </c>
      <c r="G7" s="294"/>
      <c r="H7" s="294"/>
      <c r="I7" s="294"/>
      <c r="J7" s="294">
        <f>行业!Z8+行业!Z18</f>
        <v>29</v>
      </c>
      <c r="K7" s="294"/>
      <c r="L7" s="294"/>
      <c r="M7" s="294"/>
      <c r="N7" s="294">
        <f>SUMIF(开!$BA$8:$BA$213,B7,开!$BQ$8:$BQ$213)+SUMIF('续 '!$AS$8:$AS$198,B7,'续 '!$BO$8:$BO$198)+SUMIF(竣!$AT$8:$AT$130,B7,竣!$BO$8:$BO$130)</f>
        <v>70</v>
      </c>
      <c r="O7" s="294">
        <f>SUMIF(开!$BA$8:$BA$213,B7,开!$Z$8:$Z$213)+SUMIF('续 '!$AS$8:$AS$198,B7,'续 '!$R$8:$R$198)+SUMIF(竣!$AT$8:$AT$130,B7,竣!$R$8:$R$130)</f>
        <v>33462.4788</v>
      </c>
      <c r="P7" s="294">
        <f t="shared" ref="P7:P26" si="1">O7-R7</f>
        <v>14975.5351</v>
      </c>
      <c r="Q7" s="294">
        <f>SUMIF(开!$BA$8:$BA$213,B7,开!$AA$8:$AA$213)+SUMIF('续 '!$AS$8:$AS$198,B7,'续 '!$S$8:$S$198)+SUMIF(竣!$AT$8:$AT$130,B7,竣!$S$8:$S$130)</f>
        <v>8595.9751</v>
      </c>
      <c r="R7" s="294">
        <f>SUMIF(开!$BA$8:$BA$213,B7,开!$AB$8:$AB$213)+SUMIF('续 '!$AS$8:$AS$198,B7,'续 '!$T$8:$T$198)+SUMIF(竣!$AT$8:$AT$130,B7,竣!$T$8:$T$130)</f>
        <v>18486.9437</v>
      </c>
      <c r="S7" s="308">
        <f>SUMIF(开!$BA$8:$BA$213,B7,开!$BS$8:$BS$213)+SUMIF('续 '!AS$8:AS$198,B7,'续 '!$BQ$8:$BQ$198)+SUMIF(竣!AT$8:AT$130,B7,竣!$BQ$8:$BQ$130)</f>
        <v>8</v>
      </c>
      <c r="T7" s="294">
        <f>SUMIF(开!$BA$8:$BA$213,B7,开!$AC$8:$AC$213)+SUMIF('续 '!$AS$8:$AS$198,B7,'续 '!$U$8:$U$198)+SUMIF(竣!$AT$8:$AT$130,B7,竣!$U$8:$U$130)</f>
        <v>1913.5405</v>
      </c>
      <c r="U7" s="294">
        <f t="shared" ref="U7:U26" si="2">T7-W7</f>
        <v>1604.9405</v>
      </c>
      <c r="V7" s="294">
        <f>SUMIF(开!$BA$8:$BA$213,B7,开!$AD$8:$AD$213)+SUMIF('续 '!$AS$8:$AS$198,B7,'续 '!$V$8:$V$198)+SUMIF(竣!$AT$8:$AT$130,B7,竣!$V$8:$V$130)</f>
        <v>1604.9405</v>
      </c>
      <c r="W7" s="294">
        <f>SUMIF(开!$BA$8:$BA$213,B7,开!$AE$8:$AE$213)+SUMIF('续 '!$AS$8:$AS$198,B7,'续 '!$W$8:$W$198)+SUMIF(竣!$AT$8:$AT$130,B7,竣!$W$8:$W$130)</f>
        <v>308.6</v>
      </c>
      <c r="X7" s="308">
        <f>SUMIF(开!$BA$8:$BA$213,B7,开!$BR$8:$BR$213)+SUMIF('续 '!AS$8:AS$198,B7,'续 '!$BP$8:$BP$198)+SUMIF(竣!AT$8:AT$130,B7,竣!$BP$8:$BP$130)</f>
        <v>0</v>
      </c>
      <c r="Y7" s="294">
        <f>SUMIF(开!$BA$8:$BA$213,B7,开!$AF$8:$AF$213)+SUMIF('续 '!$AS$8:$AS$198,B7,'续 '!$X$8:$X$198)+SUMIF(竣!$AT$8:$AT$130,B7,竣!$X$8:$X$130)</f>
        <v>0</v>
      </c>
      <c r="Z7" s="294">
        <f t="shared" ref="Z7:Z26" si="3">Y7-AB7</f>
        <v>0</v>
      </c>
      <c r="AA7" s="294">
        <f>SUMIF(开!$BA$8:$BA$213,B7,开!$AG$8:$AG$213)+SUMIF('续 '!$AS$8:$AS$198,B7,'续 '!$Y$8:$Y$198)+SUMIF(竣!$AT$8:$AT$130,B7,竣!$Y$8:$Y$130)</f>
        <v>0</v>
      </c>
      <c r="AB7" s="294">
        <f>SUMIF(开!$BA$8:$BA$213,B7,开!$AH$8:$AH$213)+SUMIF('续 '!$AS$8:$AS$198,B7,'续 '!$Z$8:$Z$198)+SUMIF(竣!$AT$8:$AT$130,B7,竣!$Z$8:$Z$130)</f>
        <v>0</v>
      </c>
      <c r="AC7" s="294">
        <f>SUMIF(开!$BA$8:$BA$213,B7,开!$BT$8:$BT$213)+SUMIF('续 '!AS$8:AS$198,B7,'续 '!$BR$8:$BR$198)+SUMIF(竣!AT$8:AT$130,B7,竣!$BR$8:$BR$130)</f>
        <v>9</v>
      </c>
      <c r="AD7" s="294">
        <f>SUMIF(开!$BA$8:$BA$213,B7,开!$AI$8:$AI$213)+SUMIF('续 '!$AS$8:$AS$198,B7,'续 '!$AA$8:$AA$198)+SUMIF(竣!$AT$8:$AT$130,B7,竣!$AA$8:$AA$130)</f>
        <v>2615.9582</v>
      </c>
      <c r="AE7" s="294">
        <f t="shared" ref="AE7:AE26" si="4">AD7-AG7</f>
        <v>1010.7592</v>
      </c>
      <c r="AF7" s="294">
        <f>SUMIF(开!$BA$8:$BA$213,B7,开!$AJ$8:$AJ$213)+SUMIF('续 '!$AS$8:$AS$198,B7,'续 '!$AB$8:$AB$198)+SUMIF(竣!$AT$8:$AT$130,B7,竣!$AB$8:$AB$130)</f>
        <v>910.7592</v>
      </c>
      <c r="AG7" s="294">
        <f>SUMIF(开!$BA$8:$BA$213,B7,开!$AK$8:$AK$213)+SUMIF('续 '!$AS$8:$AS$198,B7,'续 '!$AC$8:$AC$198)+SUMIF(竣!$AT$8:$AT$130,B7,竣!$AC$8:$AC$130)</f>
        <v>1605.199</v>
      </c>
      <c r="AH7" s="294">
        <f>(SUMIF(开!$BA$8:$BA$213,B7,开!$AL$8:$AL$213)+SUMIF('续 '!$AS$8:$AS$198,B7,'续 '!$AD$8:$AD$198)+SUMIF(竣!$AT$8:$AT$130,B7,竣!$AD$8:$AD$130))/10000</f>
        <v>44.0729</v>
      </c>
      <c r="AI7" s="294">
        <f>SUMIF(开!$BA$8:$BA$213,B7,开!$BU$8:$BU$213)+SUMIF('续 '!AS$8:AS$198,B7,'续 '!$BS$8:$BS$198)+SUMIF(竣!AT$8:AT$130,B7,竣!$BS$8:$BS$130)</f>
        <v>46</v>
      </c>
      <c r="AJ7" s="294">
        <f t="shared" ref="AJ7:AJ26" si="5">C7</f>
        <v>155.7752</v>
      </c>
      <c r="AK7" s="294">
        <f t="shared" ref="AK7:AK26" si="6">AJ7-AM7</f>
        <v>139.8773</v>
      </c>
      <c r="AL7" s="294">
        <f>(SUMIF(开!$BA$8:$BA$213,B7,开!$AO$8:$AO$213)+SUMIF('续 '!$AS$8:$AS$198,B7,'续 '!$AF$8:$AF$198)+SUMIF(竣!$AT$8:$AT$130,B7,竣!$AG$8:$AG$130))/10000</f>
        <v>30.254</v>
      </c>
      <c r="AM7" s="294">
        <f>(SUMIF(开!$BA$8:$BA$213,B7,开!$AP$8:$AP$213)+SUMIF('续 '!$AS$8:$AS$198,B7,'续 '!$AH$8:$AH$198)+SUMIF(竣!$AT$8:$AT$130,B7,竣!$AH$8:$AH$130))/10000</f>
        <v>15.8979</v>
      </c>
      <c r="AN7" s="311"/>
      <c r="AO7" s="314"/>
    </row>
    <row r="8" s="276" customFormat="1" ht="20.1" customHeight="1" spans="1:41">
      <c r="A8" s="295" t="s">
        <v>2851</v>
      </c>
      <c r="B8" s="292"/>
      <c r="C8" s="293">
        <f>SUM(C9:C11)</f>
        <v>67.67028</v>
      </c>
      <c r="D8" s="293"/>
      <c r="E8" s="293"/>
      <c r="F8" s="294">
        <f>SUM(F9:F11)</f>
        <v>14</v>
      </c>
      <c r="G8" s="294"/>
      <c r="H8" s="294"/>
      <c r="I8" s="294"/>
      <c r="J8" s="294">
        <f>SUM(J9:J11)</f>
        <v>6</v>
      </c>
      <c r="K8" s="294"/>
      <c r="L8" s="294"/>
      <c r="M8" s="294"/>
      <c r="N8" s="294">
        <f t="shared" ref="N8:AM8" si="7">SUM(N9:N11)</f>
        <v>18</v>
      </c>
      <c r="O8" s="294">
        <f t="shared" si="7"/>
        <v>30938.9187</v>
      </c>
      <c r="P8" s="294">
        <f t="shared" si="7"/>
        <v>7984.3187</v>
      </c>
      <c r="Q8" s="294">
        <f t="shared" si="7"/>
        <v>7889.6867</v>
      </c>
      <c r="R8" s="294">
        <f t="shared" si="7"/>
        <v>22954.6</v>
      </c>
      <c r="S8" s="294">
        <f t="shared" si="7"/>
        <v>14</v>
      </c>
      <c r="T8" s="294">
        <f t="shared" si="7"/>
        <v>10751.364</v>
      </c>
      <c r="U8" s="294">
        <f t="shared" si="7"/>
        <v>8403.364</v>
      </c>
      <c r="V8" s="294">
        <f t="shared" si="7"/>
        <v>8404.617</v>
      </c>
      <c r="W8" s="294">
        <f t="shared" si="7"/>
        <v>2348</v>
      </c>
      <c r="X8" s="294">
        <f t="shared" si="7"/>
        <v>3</v>
      </c>
      <c r="Y8" s="294">
        <f t="shared" si="7"/>
        <v>1188.2545</v>
      </c>
      <c r="Z8" s="294">
        <f t="shared" si="7"/>
        <v>1043.2545</v>
      </c>
      <c r="AA8" s="294">
        <f t="shared" si="7"/>
        <v>1043.2545</v>
      </c>
      <c r="AB8" s="294">
        <f t="shared" si="7"/>
        <v>145</v>
      </c>
      <c r="AC8" s="294">
        <f t="shared" si="7"/>
        <v>14</v>
      </c>
      <c r="AD8" s="294">
        <f t="shared" si="7"/>
        <v>24024.5457</v>
      </c>
      <c r="AE8" s="294">
        <f t="shared" si="7"/>
        <v>18851.9317</v>
      </c>
      <c r="AF8" s="294">
        <f t="shared" si="7"/>
        <v>18851.9817</v>
      </c>
      <c r="AG8" s="294">
        <f t="shared" si="7"/>
        <v>5172.614</v>
      </c>
      <c r="AH8" s="294">
        <f t="shared" si="7"/>
        <v>23.7489</v>
      </c>
      <c r="AI8" s="294">
        <f t="shared" si="7"/>
        <v>19</v>
      </c>
      <c r="AJ8" s="294">
        <f t="shared" si="7"/>
        <v>67.67028</v>
      </c>
      <c r="AK8" s="294">
        <f t="shared" si="7"/>
        <v>57.72028</v>
      </c>
      <c r="AL8" s="294">
        <f t="shared" si="7"/>
        <v>14.3989</v>
      </c>
      <c r="AM8" s="294">
        <f t="shared" si="7"/>
        <v>9.95</v>
      </c>
      <c r="AN8" s="311"/>
      <c r="AO8" s="314"/>
    </row>
    <row r="9" s="277" customFormat="1" ht="20.1" customHeight="1" spans="1:41">
      <c r="A9" s="296" t="s">
        <v>2852</v>
      </c>
      <c r="B9" s="297" t="s">
        <v>1997</v>
      </c>
      <c r="C9" s="298">
        <f>行业!F30/10000</f>
        <v>50.03158</v>
      </c>
      <c r="D9" s="298"/>
      <c r="E9" s="298"/>
      <c r="F9" s="299">
        <f>行业!J30</f>
        <v>8</v>
      </c>
      <c r="G9" s="299"/>
      <c r="H9" s="299"/>
      <c r="I9" s="299"/>
      <c r="J9" s="299">
        <f>行业!Z30</f>
        <v>3</v>
      </c>
      <c r="K9" s="299"/>
      <c r="L9" s="299"/>
      <c r="M9" s="299"/>
      <c r="N9" s="299">
        <f>SUMIF(开!$BA$8:$BA$213,B9,开!$BQ$8:$BQ$213)+SUMIF('续 '!$AS$8:$AS$198,B9,'续 '!$BO$8:$BO$198)+SUMIF(竣!$AT$8:$AT$130,B9,竣!$BO$8:$BO$130)</f>
        <v>16</v>
      </c>
      <c r="O9" s="299">
        <f>SUMIF(开!$BA$8:$BA$213,B9,开!$Z$8:$Z$213)+SUMIF('续 '!$AS$8:$AS$198,B9,'续 '!$R$8:$R$198)+SUMIF(竣!$AT$8:$AT$130,B9,竣!$R$8:$R$130)</f>
        <v>29661.9187</v>
      </c>
      <c r="P9" s="299">
        <f t="shared" si="1"/>
        <v>6837.3187</v>
      </c>
      <c r="Q9" s="299">
        <f>SUMIF(开!$BA$8:$BA$213,B9,开!$AA$8:$AA$213)+SUMIF('续 '!$AS$8:$AS$198,B9,'续 '!$S$8:$S$198)+SUMIF(竣!$AT$8:$AT$130,B9,竣!$S$8:$S$130)</f>
        <v>6837.6867</v>
      </c>
      <c r="R9" s="299">
        <f>SUMIF(开!$BA$8:$BA$213,B9,开!$AB$8:$AB$213)+SUMIF('续 '!$AS$8:$AS$198,B9,'续 '!$T$8:$T$198)+SUMIF(竣!$AT$8:$AT$130,B9,竣!$T$8:$T$130)</f>
        <v>22824.6</v>
      </c>
      <c r="S9" s="309">
        <f>SUMIF(开!$BA$8:$BA$213,B9,开!$BS$8:$BS$213)+SUMIF('续 '!AS$8:AS$198,B9,'续 '!$BQ$8:$BQ$198)+SUMIF(竣!AT$8:AT$130,B9,竣!$BQ$8:$BQ$130)</f>
        <v>14</v>
      </c>
      <c r="T9" s="299">
        <f>SUMIF(开!$BA$8:$BA$213,B9,开!$AC$8:$AC$213)+SUMIF('续 '!$AS$8:$AS$198,B9,'续 '!$U$8:$U$198)+SUMIF(竣!$AT$8:$AT$130,B9,竣!$U$8:$U$130)</f>
        <v>10751.364</v>
      </c>
      <c r="U9" s="299">
        <f t="shared" si="2"/>
        <v>8403.364</v>
      </c>
      <c r="V9" s="299">
        <f>SUMIF(开!$BA$8:$BA$213,B9,开!$AD$8:$AD$213)+SUMIF('续 '!$AS$8:$AS$198,B9,'续 '!$V$8:$V$198)+SUMIF(竣!$AT$8:$AT$130,B9,竣!$V$8:$V$130)</f>
        <v>8404.617</v>
      </c>
      <c r="W9" s="299">
        <f>SUMIF(开!$BA$8:$BA$213,B9,开!$AE$8:$AE$213)+SUMIF('续 '!$AS$8:$AS$198,B9,'续 '!$W$8:$W$198)+SUMIF(竣!$AT$8:$AT$130,B9,竣!$W$8:$W$130)</f>
        <v>2348</v>
      </c>
      <c r="X9" s="309">
        <f>SUMIF(开!$BA$8:$BA$213,B9,开!$BR$8:$BR$213)+SUMIF('续 '!AS$8:AS$198,B9,'续 '!$BP$8:$BP$198)+SUMIF(竣!AT$8:AT$130,B9,竣!$BP$8:$BP$130)</f>
        <v>0</v>
      </c>
      <c r="Y9" s="299">
        <f>SUMIF(开!$BA$8:$BA$213,B9,开!$AF$8:$AF$213)+SUMIF('续 '!$AS$8:$AS$198,B9,'续 '!$X$8:$X$198)+SUMIF(竣!$AT$8:$AT$130,B9,竣!$X$8:$X$130)</f>
        <v>0</v>
      </c>
      <c r="Z9" s="299">
        <f t="shared" si="3"/>
        <v>0</v>
      </c>
      <c r="AA9" s="299">
        <f>SUMIF(开!$BA$8:$BA$213,B9,开!$AG$8:$AG$213)+SUMIF('续 '!$AS$8:$AS$198,B9,'续 '!$Y$8:$Y$198)+SUMIF(竣!$AT$8:$AT$130,B9,竣!$Y$8:$Y$130)</f>
        <v>0</v>
      </c>
      <c r="AB9" s="299">
        <f>SUMIF(开!$BA$8:$BA$213,B9,开!$AH$8:$AH$213)+SUMIF('续 '!$AS$8:$AS$198,B9,'续 '!$Z$8:$Z$198)+SUMIF(竣!$AT$8:$AT$130,B9,竣!$Z$8:$Z$130)</f>
        <v>0</v>
      </c>
      <c r="AC9" s="299">
        <f>SUMIF(开!$BA$8:$BA$213,B9,开!$BT$8:$BT$213)+SUMIF('续 '!AS$8:AS$198,B9,'续 '!$BR$8:$BR$198)+SUMIF(竣!AT$8:AT$130,B9,竣!$BR$8:$BR$130)</f>
        <v>13</v>
      </c>
      <c r="AD9" s="299">
        <f>SUMIF(开!$BA$8:$BA$213,B9,开!$AI$8:$AI$213)+SUMIF('续 '!$AS$8:$AS$198,B9,'续 '!$AA$8:$AA$198)+SUMIF(竣!$AT$8:$AT$130,B9,竣!$AA$8:$AA$130)</f>
        <v>23929.5457</v>
      </c>
      <c r="AE9" s="299">
        <f t="shared" si="4"/>
        <v>18851.9317</v>
      </c>
      <c r="AF9" s="299">
        <f>SUMIF(开!$BA$8:$BA$213,B9,开!$AJ$8:$AJ$213)+SUMIF('续 '!$AS$8:$AS$198,B9,'续 '!$AB$8:$AB$198)+SUMIF(竣!$AT$8:$AT$130,B9,竣!$AB$8:$AB$130)</f>
        <v>18851.9817</v>
      </c>
      <c r="AG9" s="299">
        <f>SUMIF(开!$BA$8:$BA$213,B9,开!$AK$8:$AK$213)+SUMIF('续 '!$AS$8:$AS$198,B9,'续 '!$AC$8:$AC$198)+SUMIF(竣!$AT$8:$AT$130,B9,竣!$AC$8:$AC$130)</f>
        <v>5077.614</v>
      </c>
      <c r="AH9" s="299">
        <f>(SUMIF(开!$BA$8:$BA$213,B9,开!$AL$8:$AL$213)+SUMIF('续 '!$AS$8:$AS$198,B9,'续 '!$AD$8:$AD$198)+SUMIF(竣!$AT$8:$AT$130,B9,竣!$AD$8:$AD$130))/10000</f>
        <v>17.5657</v>
      </c>
      <c r="AI9" s="299">
        <f>SUMIF(开!$BA$8:$BA$213,B9,开!$BU$8:$BU$213)+SUMIF('续 '!AS$8:AS$198,B9,'续 '!$BS$8:$BS$198)+SUMIF(竣!AT$8:AT$130,B9,竣!$BS$8:$BS$130)</f>
        <v>13</v>
      </c>
      <c r="AJ9" s="299">
        <f t="shared" si="5"/>
        <v>50.03158</v>
      </c>
      <c r="AK9" s="299">
        <f t="shared" si="6"/>
        <v>41.13158</v>
      </c>
      <c r="AL9" s="299">
        <f>(SUMIF(开!$BA$8:$BA$213,B9,开!$AO$8:$AO$213)+SUMIF('续 '!$AS$8:$AS$198,B9,'续 '!$AF$8:$AF$198)+SUMIF(竣!$AT$8:$AT$130,B9,竣!$AG$8:$AG$130))/10000</f>
        <v>8.9657</v>
      </c>
      <c r="AM9" s="299">
        <f>(SUMIF(开!$BA$8:$BA$213,B9,开!$AP$8:$AP$213)+SUMIF('续 '!$AS$8:$AS$198,B9,'续 '!$AH$8:$AH$198)+SUMIF(竣!$AT$8:$AT$130,B9,竣!$AH$8:$AH$130))/10000</f>
        <v>8.9</v>
      </c>
      <c r="AN9" s="312"/>
      <c r="AO9" s="315"/>
    </row>
    <row r="10" s="277" customFormat="1" ht="20.1" customHeight="1" spans="1:41">
      <c r="A10" s="296" t="s">
        <v>2853</v>
      </c>
      <c r="B10" s="297" t="s">
        <v>1979</v>
      </c>
      <c r="C10" s="298">
        <f>行业!F31/10000</f>
        <v>11.7387</v>
      </c>
      <c r="D10" s="298"/>
      <c r="E10" s="298"/>
      <c r="F10" s="299">
        <f>行业!J31</f>
        <v>5</v>
      </c>
      <c r="G10" s="299"/>
      <c r="H10" s="299"/>
      <c r="I10" s="299"/>
      <c r="J10" s="299">
        <f>行业!Z31</f>
        <v>2</v>
      </c>
      <c r="K10" s="299"/>
      <c r="L10" s="299"/>
      <c r="M10" s="299"/>
      <c r="N10" s="299">
        <f>SUMIF(开!$BA$8:$BA$213,B10,开!$BQ$8:$BQ$213)+SUMIF('续 '!$AS$8:$AS$198,B10,'续 '!$BO$8:$BO$198)+SUMIF(竣!$AT$8:$AT$130,B10,竣!$BO$8:$BO$130)</f>
        <v>0</v>
      </c>
      <c r="O10" s="299">
        <f>SUMIF(开!$BA$8:$BA$213,B10,开!$Z$8:$Z$213)+SUMIF('续 '!$AS$8:$AS$198,B10,'续 '!$R$8:$R$198)+SUMIF(竣!$AT$8:$AT$130,B10,竣!$R$8:$R$130)</f>
        <v>0</v>
      </c>
      <c r="P10" s="299">
        <f t="shared" si="1"/>
        <v>0</v>
      </c>
      <c r="Q10" s="299">
        <f>SUMIF(开!$BA$8:$BA$213,B10,开!$AA$8:$AA$213)+SUMIF('续 '!$AS$8:$AS$198,B10,'续 '!$S$8:$S$198)+SUMIF(竣!$AT$8:$AT$130,B10,竣!$S$8:$S$130)</f>
        <v>0</v>
      </c>
      <c r="R10" s="299">
        <f>SUMIF(开!$BA$8:$BA$213,B10,开!$AB$8:$AB$213)+SUMIF('续 '!$AS$8:$AS$198,B10,'续 '!$T$8:$T$198)+SUMIF(竣!$AT$8:$AT$130,B10,竣!$T$8:$T$130)</f>
        <v>0</v>
      </c>
      <c r="S10" s="309">
        <f>SUMIF(开!$BA$8:$BA$213,B10,开!$BS$8:$BS$213)+SUMIF('续 '!AS$8:AS$198,B10,'续 '!$BQ$8:$BQ$198)+SUMIF(竣!AT$8:AT$130,B10,竣!$BQ$8:$BQ$130)</f>
        <v>0</v>
      </c>
      <c r="T10" s="299">
        <f>SUMIF(开!$BA$8:$BA$213,B10,开!$AC$8:$AC$213)+SUMIF('续 '!$AS$8:$AS$198,B10,'续 '!$U$8:$U$198)+SUMIF(竣!$AT$8:$AT$130,B10,竣!$U$8:$U$130)</f>
        <v>0</v>
      </c>
      <c r="U10" s="299">
        <f t="shared" si="2"/>
        <v>0</v>
      </c>
      <c r="V10" s="299">
        <f>SUMIF(开!$BA$8:$BA$213,B10,开!$AD$8:$AD$213)+SUMIF('续 '!$AS$8:$AS$198,B10,'续 '!$V$8:$V$198)+SUMIF(竣!$AT$8:$AT$130,B10,竣!$V$8:$V$130)</f>
        <v>0</v>
      </c>
      <c r="W10" s="299">
        <f>SUMIF(开!$BA$8:$BA$213,B10,开!$AE$8:$AE$213)+SUMIF('续 '!$AS$8:$AS$198,B10,'续 '!$W$8:$W$198)+SUMIF(竣!$AT$8:$AT$130,B10,竣!$W$8:$W$130)</f>
        <v>0</v>
      </c>
      <c r="X10" s="309">
        <f>SUMIF(开!$BA$8:$BA$213,B10,开!$BR$8:$BR$213)+SUMIF('续 '!AS$8:AS$198,B10,'续 '!$BP$8:$BP$198)+SUMIF(竣!AT$8:AT$130,B10,竣!$BP$8:$BP$130)</f>
        <v>2</v>
      </c>
      <c r="Y10" s="299">
        <f>SUMIF(开!$BA$8:$BA$213,B10,开!$AF$8:$AF$213)+SUMIF('续 '!$AS$8:$AS$198,B10,'续 '!$X$8:$X$198)+SUMIF(竣!$AT$8:$AT$130,B10,竣!$X$8:$X$130)</f>
        <v>1058.2545</v>
      </c>
      <c r="Z10" s="299">
        <f t="shared" si="3"/>
        <v>1043.2545</v>
      </c>
      <c r="AA10" s="299">
        <f>SUMIF(开!$BA$8:$BA$213,B10,开!$AG$8:$AG$213)+SUMIF('续 '!$AS$8:$AS$198,B10,'续 '!$Y$8:$Y$198)+SUMIF(竣!$AT$8:$AT$130,B10,竣!$Y$8:$Y$130)</f>
        <v>1043.2545</v>
      </c>
      <c r="AB10" s="299">
        <f>SUMIF(开!$BA$8:$BA$213,B10,开!$AH$8:$AH$213)+SUMIF('续 '!$AS$8:$AS$198,B10,'续 '!$Z$8:$Z$198)+SUMIF(竣!$AT$8:$AT$130,B10,竣!$Z$8:$Z$130)</f>
        <v>15</v>
      </c>
      <c r="AC10" s="299">
        <f>SUMIF(开!$BA$8:$BA$213,B10,开!$BT$8:$BT$213)+SUMIF('续 '!AS$8:AS$198,B10,'续 '!$BR$8:$BR$198)+SUMIF(竣!AT$8:AT$130,B10,竣!$BR$8:$BR$130)</f>
        <v>0</v>
      </c>
      <c r="AD10" s="299">
        <f>SUMIF(开!$BA$8:$BA$213,B10,开!$AI$8:$AI$213)+SUMIF('续 '!$AS$8:$AS$198,B10,'续 '!$AA$8:$AA$198)+SUMIF(竣!$AT$8:$AT$130,B10,竣!$AA$8:$AA$130)</f>
        <v>0</v>
      </c>
      <c r="AE10" s="299">
        <f t="shared" si="4"/>
        <v>0</v>
      </c>
      <c r="AF10" s="299">
        <f>SUMIF(开!$BA$8:$BA$213,B10,开!$AJ$8:$AJ$213)+SUMIF('续 '!$AS$8:$AS$198,B10,'续 '!$AB$8:$AB$198)+SUMIF(竣!$AT$8:$AT$130,B10,竣!$AB$8:$AB$130)</f>
        <v>0</v>
      </c>
      <c r="AG10" s="299">
        <f>SUMIF(开!$BA$8:$BA$213,B10,开!$AK$8:$AK$213)+SUMIF('续 '!$AS$8:$AS$198,B10,'续 '!$AC$8:$AC$198)+SUMIF(竣!$AT$8:$AT$130,B10,竣!$AC$8:$AC$130)</f>
        <v>0</v>
      </c>
      <c r="AH10" s="299">
        <f>(SUMIF(开!$BA$8:$BA$213,B10,开!$AL$8:$AL$213)+SUMIF('续 '!$AS$8:$AS$198,B10,'续 '!$AD$8:$AD$198)+SUMIF(竣!$AT$8:$AT$130,B10,竣!$AD$8:$AD$130))/10000</f>
        <v>2.6832</v>
      </c>
      <c r="AI10" s="299">
        <f>SUMIF(开!$BA$8:$BA$213,B10,开!$BU$8:$BU$213)+SUMIF('续 '!AS$8:AS$198,B10,'续 '!$BS$8:$BS$198)+SUMIF(竣!AT$8:AT$130,B10,竣!$BS$8:$BS$130)</f>
        <v>4</v>
      </c>
      <c r="AJ10" s="299">
        <f t="shared" si="5"/>
        <v>11.7387</v>
      </c>
      <c r="AK10" s="299">
        <f t="shared" si="6"/>
        <v>10.6887</v>
      </c>
      <c r="AL10" s="299">
        <f>(SUMIF(开!$BA$8:$BA$213,B10,开!$AO$8:$AO$213)+SUMIF('续 '!$AS$8:$AS$198,B10,'续 '!$AF$8:$AF$198)+SUMIF(竣!$AT$8:$AT$130,B10,竣!$AG$8:$AG$130))/10000</f>
        <v>1.9332</v>
      </c>
      <c r="AM10" s="299">
        <f>(SUMIF(开!$BA$8:$BA$213,B10,开!$AP$8:$AP$213)+SUMIF('续 '!$AS$8:$AS$198,B10,'续 '!$AH$8:$AH$198)+SUMIF(竣!$AT$8:$AT$130,B10,竣!$AH$8:$AH$130))/10000</f>
        <v>1.05</v>
      </c>
      <c r="AN10" s="312"/>
      <c r="AO10" s="315"/>
    </row>
    <row r="11" s="277" customFormat="1" ht="20.1" customHeight="1" spans="1:41">
      <c r="A11" s="296" t="s">
        <v>2854</v>
      </c>
      <c r="B11" s="297" t="s">
        <v>1993</v>
      </c>
      <c r="C11" s="298">
        <f>行业!F32/10000</f>
        <v>5.9</v>
      </c>
      <c r="D11" s="298"/>
      <c r="E11" s="298"/>
      <c r="F11" s="299">
        <f>行业!J32</f>
        <v>1</v>
      </c>
      <c r="G11" s="299"/>
      <c r="H11" s="299"/>
      <c r="I11" s="299"/>
      <c r="J11" s="299">
        <f>行业!Z32</f>
        <v>1</v>
      </c>
      <c r="K11" s="299"/>
      <c r="L11" s="299"/>
      <c r="M11" s="299"/>
      <c r="N11" s="299">
        <f>SUMIF(开!$BA$8:$BA$213,B11,开!$BQ$8:$BQ$213)+SUMIF('续 '!$AS$8:$AS$198,B11,'续 '!$BO$8:$BO$198)+SUMIF(竣!$AT$8:$AT$130,B11,竣!$BO$8:$BO$130)</f>
        <v>2</v>
      </c>
      <c r="O11" s="299">
        <f>SUMIF(开!$BA$8:$BA$213,B11,开!$Z$8:$Z$213)+SUMIF('续 '!$AS$8:$AS$198,B11,'续 '!$R$8:$R$198)+SUMIF(竣!$AT$8:$AT$130,B11,竣!$R$8:$R$130)</f>
        <v>1277</v>
      </c>
      <c r="P11" s="299">
        <f t="shared" si="1"/>
        <v>1147</v>
      </c>
      <c r="Q11" s="299">
        <f>SUMIF(开!$BA$8:$BA$213,B11,开!$AA$8:$AA$213)+SUMIF('续 '!$AS$8:$AS$198,B11,'续 '!$S$8:$S$198)+SUMIF(竣!$AT$8:$AT$130,B11,竣!$S$8:$S$130)</f>
        <v>1052</v>
      </c>
      <c r="R11" s="299">
        <f>SUMIF(开!$BA$8:$BA$213,B11,开!$AB$8:$AB$213)+SUMIF('续 '!$AS$8:$AS$198,B11,'续 '!$T$8:$T$198)+SUMIF(竣!$AT$8:$AT$130,B11,竣!$T$8:$T$130)</f>
        <v>130</v>
      </c>
      <c r="S11" s="309">
        <f>SUMIF(开!$BA$8:$BA$213,B11,开!$BS$8:$BS$213)+SUMIF('续 '!AS$8:AS$198,B11,'续 '!$BQ$8:$BQ$198)+SUMIF(竣!AT$8:AT$130,B11,竣!$BQ$8:$BQ$130)</f>
        <v>0</v>
      </c>
      <c r="T11" s="299">
        <f>SUMIF(开!$BA$8:$BA$213,B11,开!$AC$8:$AC$213)+SUMIF('续 '!$AS$8:$AS$198,B11,'续 '!$U$8:$U$198)+SUMIF(竣!$AT$8:$AT$130,B11,竣!$U$8:$U$130)</f>
        <v>0</v>
      </c>
      <c r="U11" s="299">
        <f t="shared" si="2"/>
        <v>0</v>
      </c>
      <c r="V11" s="299">
        <f>SUMIF(开!$BA$8:$BA$213,B11,开!$AD$8:$AD$213)+SUMIF('续 '!$AS$8:$AS$198,B11,'续 '!$V$8:$V$198)+SUMIF(竣!$AT$8:$AT$130,B11,竣!$V$8:$V$130)</f>
        <v>0</v>
      </c>
      <c r="W11" s="299">
        <f>SUMIF(开!$BA$8:$BA$213,B11,开!$AE$8:$AE$213)+SUMIF('续 '!$AS$8:$AS$198,B11,'续 '!$W$8:$W$198)+SUMIF(竣!$AT$8:$AT$130,B11,竣!$W$8:$W$130)</f>
        <v>0</v>
      </c>
      <c r="X11" s="309">
        <f>SUMIF(开!$BA$8:$BA$213,B11,开!$BR$8:$BR$213)+SUMIF('续 '!AS$8:AS$198,B11,'续 '!$BP$8:$BP$198)+SUMIF(竣!AT$8:AT$130,B11,竣!$BP$8:$BP$130)</f>
        <v>1</v>
      </c>
      <c r="Y11" s="299">
        <f>SUMIF(开!$BA$8:$BA$213,B11,开!$AF$8:$AF$213)+SUMIF('续 '!$AS$8:$AS$198,B11,'续 '!$X$8:$X$198)+SUMIF(竣!$AT$8:$AT$130,B11,竣!$X$8:$X$130)</f>
        <v>130</v>
      </c>
      <c r="Z11" s="299">
        <f t="shared" si="3"/>
        <v>0</v>
      </c>
      <c r="AA11" s="299">
        <f>SUMIF(开!$BA$8:$BA$213,B11,开!$AG$8:$AG$213)+SUMIF('续 '!$AS$8:$AS$198,B11,'续 '!$Y$8:$Y$198)+SUMIF(竣!$AT$8:$AT$130,B11,竣!$Y$8:$Y$130)</f>
        <v>0</v>
      </c>
      <c r="AB11" s="299">
        <f>SUMIF(开!$BA$8:$BA$213,B11,开!$AH$8:$AH$213)+SUMIF('续 '!$AS$8:$AS$198,B11,'续 '!$Z$8:$Z$198)+SUMIF(竣!$AT$8:$AT$130,B11,竣!$Z$8:$Z$130)</f>
        <v>130</v>
      </c>
      <c r="AC11" s="299">
        <f>SUMIF(开!$BA$8:$BA$213,B11,开!$BT$8:$BT$213)+SUMIF('续 '!AS$8:AS$198,B11,'续 '!$BR$8:$BR$198)+SUMIF(竣!AT$8:AT$130,B11,竣!$BR$8:$BR$130)</f>
        <v>1</v>
      </c>
      <c r="AD11" s="299">
        <f>SUMIF(开!$BA$8:$BA$213,B11,开!$AI$8:$AI$213)+SUMIF('续 '!$AS$8:$AS$198,B11,'续 '!$AA$8:$AA$198)+SUMIF(竣!$AT$8:$AT$130,B11,竣!$AA$8:$AA$130)</f>
        <v>95</v>
      </c>
      <c r="AE11" s="299">
        <f t="shared" si="4"/>
        <v>0</v>
      </c>
      <c r="AF11" s="299">
        <f>SUMIF(开!$BA$8:$BA$213,B11,开!$AJ$8:$AJ$213)+SUMIF('续 '!$AS$8:$AS$198,B11,'续 '!$AB$8:$AB$198)+SUMIF(竣!$AT$8:$AT$130,B11,竣!$AB$8:$AB$130)</f>
        <v>0</v>
      </c>
      <c r="AG11" s="299">
        <f>SUMIF(开!$BA$8:$BA$213,B11,开!$AK$8:$AK$213)+SUMIF('续 '!$AS$8:$AS$198,B11,'续 '!$AC$8:$AC$198)+SUMIF(竣!$AT$8:$AT$130,B11,竣!$AC$8:$AC$130)</f>
        <v>95</v>
      </c>
      <c r="AH11" s="299">
        <f>(SUMIF(开!$BA$8:$BA$213,B11,开!$AL$8:$AL$213)+SUMIF('续 '!$AS$8:$AS$198,B11,'续 '!$AD$8:$AD$198)+SUMIF(竣!$AT$8:$AT$130,B11,竣!$AD$8:$AD$130))/10000</f>
        <v>3.5</v>
      </c>
      <c r="AI11" s="299">
        <f>SUMIF(开!$BA$8:$BA$213,B11,开!$BU$8:$BU$213)+SUMIF('续 '!AS$8:AS$198,B11,'续 '!$BS$8:$BS$198)+SUMIF(竣!AT$8:AT$130,B11,竣!$BS$8:$BS$130)</f>
        <v>2</v>
      </c>
      <c r="AJ11" s="299">
        <f t="shared" si="5"/>
        <v>5.9</v>
      </c>
      <c r="AK11" s="299">
        <f t="shared" si="6"/>
        <v>5.9</v>
      </c>
      <c r="AL11" s="299">
        <f>(SUMIF(开!$BA$8:$BA$213,B11,开!$AO$8:$AO$213)+SUMIF('续 '!$AS$8:$AS$198,B11,'续 '!$AF$8:$AF$198)+SUMIF(竣!$AT$8:$AT$130,B11,竣!$AG$8:$AG$130))/10000</f>
        <v>3.5</v>
      </c>
      <c r="AM11" s="299">
        <f>(SUMIF(开!$BA$8:$BA$213,B11,开!$AP$8:$AP$213)+SUMIF('续 '!$AS$8:$AS$198,B11,'续 '!$AH$8:$AH$198)+SUMIF(竣!$AT$8:$AT$130,B11,竣!$AH$8:$AH$130))/10000</f>
        <v>0</v>
      </c>
      <c r="AN11" s="312"/>
      <c r="AO11" s="315"/>
    </row>
    <row r="12" s="276" customFormat="1" ht="20.1" customHeight="1" spans="1:41">
      <c r="A12" s="300" t="s">
        <v>2855</v>
      </c>
      <c r="B12" s="290"/>
      <c r="C12" s="293">
        <f>SUM(C13:C14)</f>
        <v>64.2596086</v>
      </c>
      <c r="D12" s="293"/>
      <c r="E12" s="293"/>
      <c r="F12" s="294">
        <f>SUM(F13:F14)</f>
        <v>52</v>
      </c>
      <c r="G12" s="294"/>
      <c r="H12" s="294"/>
      <c r="I12" s="294"/>
      <c r="J12" s="294">
        <f>SUM(J13:J14)</f>
        <v>37</v>
      </c>
      <c r="K12" s="294"/>
      <c r="L12" s="294"/>
      <c r="M12" s="294"/>
      <c r="N12" s="294">
        <f t="shared" ref="N12:AM12" si="8">SUM(N13:N14)</f>
        <v>82</v>
      </c>
      <c r="O12" s="294">
        <f t="shared" si="8"/>
        <v>23840.5902</v>
      </c>
      <c r="P12" s="294">
        <f t="shared" si="8"/>
        <v>8521.825</v>
      </c>
      <c r="Q12" s="294">
        <f t="shared" si="8"/>
        <v>8851.8025</v>
      </c>
      <c r="R12" s="294">
        <f t="shared" si="8"/>
        <v>15318.7652</v>
      </c>
      <c r="S12" s="294">
        <f t="shared" si="8"/>
        <v>37</v>
      </c>
      <c r="T12" s="294">
        <f t="shared" si="8"/>
        <v>11562.6045</v>
      </c>
      <c r="U12" s="294">
        <f t="shared" si="8"/>
        <v>5505.3045</v>
      </c>
      <c r="V12" s="294">
        <f t="shared" si="8"/>
        <v>5365.9735</v>
      </c>
      <c r="W12" s="294">
        <f t="shared" si="8"/>
        <v>6057.3</v>
      </c>
      <c r="X12" s="294">
        <f t="shared" si="8"/>
        <v>4</v>
      </c>
      <c r="Y12" s="294">
        <f t="shared" si="8"/>
        <v>1674.8</v>
      </c>
      <c r="Z12" s="294">
        <f t="shared" si="8"/>
        <v>1386</v>
      </c>
      <c r="AA12" s="294">
        <f t="shared" si="8"/>
        <v>1386</v>
      </c>
      <c r="AB12" s="294">
        <f t="shared" si="8"/>
        <v>288.8</v>
      </c>
      <c r="AC12" s="294">
        <f t="shared" si="8"/>
        <v>60</v>
      </c>
      <c r="AD12" s="294">
        <f t="shared" si="8"/>
        <v>13502.92</v>
      </c>
      <c r="AE12" s="294">
        <f t="shared" si="8"/>
        <v>2701.12</v>
      </c>
      <c r="AF12" s="294">
        <f t="shared" si="8"/>
        <v>2701.12</v>
      </c>
      <c r="AG12" s="294">
        <f t="shared" si="8"/>
        <v>10801.8</v>
      </c>
      <c r="AH12" s="294">
        <f t="shared" si="8"/>
        <v>43.197</v>
      </c>
      <c r="AI12" s="294">
        <f t="shared" si="8"/>
        <v>81</v>
      </c>
      <c r="AJ12" s="294">
        <f t="shared" si="8"/>
        <v>64.2596086</v>
      </c>
      <c r="AK12" s="294">
        <f t="shared" si="8"/>
        <v>31.0359086</v>
      </c>
      <c r="AL12" s="294">
        <f t="shared" si="8"/>
        <v>8.6987</v>
      </c>
      <c r="AM12" s="294">
        <f t="shared" si="8"/>
        <v>33.2237</v>
      </c>
      <c r="AN12" s="311"/>
      <c r="AO12" s="314"/>
    </row>
    <row r="13" s="277" customFormat="1" ht="20.1" customHeight="1" spans="1:41">
      <c r="A13" s="296" t="s">
        <v>2856</v>
      </c>
      <c r="B13" s="297" t="s">
        <v>2021</v>
      </c>
      <c r="C13" s="298">
        <f>(行业!F36+行业!F43)/10000</f>
        <v>19.7227</v>
      </c>
      <c r="D13" s="298"/>
      <c r="E13" s="298"/>
      <c r="F13" s="299">
        <f>行业!J36+行业!J43</f>
        <v>26</v>
      </c>
      <c r="G13" s="299"/>
      <c r="H13" s="299"/>
      <c r="I13" s="299"/>
      <c r="J13" s="299">
        <f>行业!Z36+行业!Z43</f>
        <v>13</v>
      </c>
      <c r="K13" s="299"/>
      <c r="L13" s="299"/>
      <c r="M13" s="299"/>
      <c r="N13" s="299">
        <f>SUMIF(开!$BA$8:$BA$213,B13,开!$BQ$8:$BQ$213)+SUMIF('续 '!$AS$8:$AS$198,B13,'续 '!$BO$8:$BO$198)+SUMIF(竣!$AT$8:$AT$130,B13,竣!$BO$8:$BO$130)</f>
        <v>45</v>
      </c>
      <c r="O13" s="299">
        <f>SUMIF(开!$BA$8:$BA$213,B13,开!$Z$8:$Z$213)+SUMIF('续 '!$AS$8:$AS$198,B13,'续 '!$R$8:$R$198)+SUMIF(竣!$AT$8:$AT$130,B13,竣!$R$8:$R$130)</f>
        <v>7986.6375</v>
      </c>
      <c r="P13" s="299">
        <f t="shared" si="1"/>
        <v>5433.315</v>
      </c>
      <c r="Q13" s="299">
        <f>SUMIF(开!$BA$8:$BA$213,B13,开!$AA$8:$AA$213)+SUMIF('续 '!$AS$8:$AS$198,B13,'续 '!$S$8:$S$198)+SUMIF(竣!$AT$8:$AT$130,B13,竣!$S$8:$S$130)</f>
        <v>5543.8025</v>
      </c>
      <c r="R13" s="299">
        <f>SUMIF(开!$BA$8:$BA$213,B13,开!$AB$8:$AB$213)+SUMIF('续 '!$AS$8:$AS$198,B13,'续 '!$T$8:$T$198)+SUMIF(竣!$AT$8:$AT$130,B13,竣!$T$8:$T$130)</f>
        <v>2553.3225</v>
      </c>
      <c r="S13" s="309">
        <f>SUMIF(开!$BA$8:$BA$213,B13,开!$BS$8:$BS$213)+SUMIF('续 '!AS$8:AS$198,B13,'续 '!$BQ$8:$BQ$198)+SUMIF(竣!AT$8:AT$130,B13,竣!$BQ$8:$BQ$130)</f>
        <v>19</v>
      </c>
      <c r="T13" s="299">
        <f>SUMIF(开!$BA$8:$BA$213,B13,开!$AC$8:$AC$213)+SUMIF('续 '!$AS$8:$AS$198,B13,'续 '!$U$8:$U$198)+SUMIF(竣!$AT$8:$AT$130,B13,竣!$U$8:$U$130)</f>
        <v>1283.773</v>
      </c>
      <c r="U13" s="299">
        <f t="shared" si="2"/>
        <v>1066.773</v>
      </c>
      <c r="V13" s="299">
        <f>SUMIF(开!$BA$8:$BA$213,B13,开!$AD$8:$AD$213)+SUMIF('续 '!$AS$8:$AS$198,B13,'续 '!$V$8:$V$198)+SUMIF(竣!$AT$8:$AT$130,B13,竣!$V$8:$V$130)</f>
        <v>991.335</v>
      </c>
      <c r="W13" s="299">
        <f>SUMIF(开!$BA$8:$BA$213,B13,开!$AE$8:$AE$213)+SUMIF('续 '!$AS$8:$AS$198,B13,'续 '!$W$8:$W$198)+SUMIF(竣!$AT$8:$AT$130,B13,竣!$W$8:$W$130)</f>
        <v>217</v>
      </c>
      <c r="X13" s="309">
        <f>SUMIF(开!$BA$8:$BA$213,B13,开!$BR$8:$BR$213)+SUMIF('续 '!AS$8:AS$198,B13,'续 '!$BP$8:$BP$198)+SUMIF(竣!AT$8:AT$130,B13,竣!$BP$8:$BP$130)</f>
        <v>2</v>
      </c>
      <c r="Y13" s="299">
        <f>SUMIF(开!$BA$8:$BA$213,B13,开!$AF$8:$AF$213)+SUMIF('续 '!$AS$8:$AS$198,B13,'续 '!$X$8:$X$198)+SUMIF(竣!$AT$8:$AT$130,B13,竣!$X$8:$X$130)</f>
        <v>152.8</v>
      </c>
      <c r="Z13" s="299">
        <f t="shared" si="3"/>
        <v>0</v>
      </c>
      <c r="AA13" s="299">
        <f>SUMIF(开!$BA$8:$BA$213,B13,开!$AG$8:$AG$213)+SUMIF('续 '!$AS$8:$AS$198,B13,'续 '!$Y$8:$Y$198)+SUMIF(竣!$AT$8:$AT$130,B13,竣!$Y$8:$Y$130)</f>
        <v>0</v>
      </c>
      <c r="AB13" s="299">
        <f>SUMIF(开!$BA$8:$BA$213,B13,开!$AH$8:$AH$213)+SUMIF('续 '!$AS$8:$AS$198,B13,'续 '!$Z$8:$Z$198)+SUMIF(竣!$AT$8:$AT$130,B13,竣!$Z$8:$Z$130)</f>
        <v>152.8</v>
      </c>
      <c r="AC13" s="299">
        <f>SUMIF(开!$BA$8:$BA$213,B13,开!$BT$8:$BT$213)+SUMIF('续 '!AS$8:AS$198,B13,'续 '!$BR$8:$BR$198)+SUMIF(竣!AT$8:AT$130,B13,竣!$BR$8:$BR$130)</f>
        <v>38</v>
      </c>
      <c r="AD13" s="299">
        <f>SUMIF(开!$BA$8:$BA$213,B13,开!$AI$8:$AI$213)+SUMIF('续 '!$AS$8:$AS$198,B13,'续 '!$AA$8:$AA$198)+SUMIF(竣!$AT$8:$AT$130,B13,竣!$AA$8:$AA$130)</f>
        <v>3537.24</v>
      </c>
      <c r="AE13" s="299">
        <f t="shared" si="4"/>
        <v>2116</v>
      </c>
      <c r="AF13" s="299">
        <f>SUMIF(开!$BA$8:$BA$213,B13,开!$AJ$8:$AJ$213)+SUMIF('续 '!$AS$8:$AS$198,B13,'续 '!$AB$8:$AB$198)+SUMIF(竣!$AT$8:$AT$130,B13,竣!$AB$8:$AB$130)</f>
        <v>2116</v>
      </c>
      <c r="AG13" s="299">
        <f>SUMIF(开!$BA$8:$BA$213,B13,开!$AK$8:$AK$213)+SUMIF('续 '!$AS$8:$AS$198,B13,'续 '!$AC$8:$AC$198)+SUMIF(竣!$AT$8:$AT$130,B13,竣!$AC$8:$AC$130)</f>
        <v>1421.24</v>
      </c>
      <c r="AH13" s="299">
        <f>(SUMIF(开!$BA$8:$BA$213,B13,开!$AL$8:$AL$213)+SUMIF('续 '!$AS$8:$AS$198,B13,'续 '!$AD$8:$AD$198)+SUMIF(竣!$AT$8:$AT$130,B13,竣!$AD$8:$AD$130))/10000</f>
        <v>13.67</v>
      </c>
      <c r="AI13" s="299">
        <f>SUMIF(开!$BA$8:$BA$213,B13,开!$BU$8:$BU$213)+SUMIF('续 '!AS$8:AS$198,B13,'续 '!$BS$8:$BS$198)+SUMIF(竣!AT$8:AT$130,B13,竣!$BS$8:$BS$130)</f>
        <v>36</v>
      </c>
      <c r="AJ13" s="299">
        <f t="shared" si="5"/>
        <v>19.7227</v>
      </c>
      <c r="AK13" s="299">
        <f t="shared" si="6"/>
        <v>7.9298</v>
      </c>
      <c r="AL13" s="299">
        <f>(SUMIF(开!$BA$8:$BA$213,B13,开!$AO$8:$AO$213)+SUMIF('续 '!$AS$8:$AS$198,B13,'续 '!$AF$8:$AF$198)+SUMIF(竣!$AT$8:$AT$130,B13,竣!$AG$8:$AG$130))/10000</f>
        <v>2.3771</v>
      </c>
      <c r="AM13" s="299">
        <f>(SUMIF(开!$BA$8:$BA$213,B13,开!$AP$8:$AP$213)+SUMIF('续 '!$AS$8:$AS$198,B13,'续 '!$AH$8:$AH$198)+SUMIF(竣!$AT$8:$AT$130,B13,竣!$AH$8:$AH$130))/10000</f>
        <v>11.7929</v>
      </c>
      <c r="AN13" s="312"/>
      <c r="AO13" s="315"/>
    </row>
    <row r="14" s="277" customFormat="1" ht="20.1" customHeight="1" spans="1:41">
      <c r="A14" s="296" t="s">
        <v>2857</v>
      </c>
      <c r="B14" s="297" t="s">
        <v>2018</v>
      </c>
      <c r="C14" s="298">
        <f>(行业!F34+行业!F40)/10000-(行业!F36+行业!F43)/10000</f>
        <v>44.5369086</v>
      </c>
      <c r="D14" s="298"/>
      <c r="E14" s="298"/>
      <c r="F14" s="299">
        <f>(行业!J34+行业!J40)-(行业!J36+行业!J43)</f>
        <v>26</v>
      </c>
      <c r="G14" s="299"/>
      <c r="H14" s="299"/>
      <c r="I14" s="299"/>
      <c r="J14" s="299">
        <f>(行业!Z34+行业!Z40)-(行业!Z36+行业!Z43)</f>
        <v>24</v>
      </c>
      <c r="K14" s="299"/>
      <c r="L14" s="299"/>
      <c r="M14" s="299"/>
      <c r="N14" s="299">
        <f>SUMIF(开!$BA$8:$BA$213,B14,开!$BQ$8:$BQ$213)+SUMIF('续 '!$AS$8:$AS$198,B14,'续 '!$BO$8:$BO$198)+SUMIF(竣!$AT$8:$AT$130,B14,竣!$BO$8:$BO$130)</f>
        <v>37</v>
      </c>
      <c r="O14" s="299">
        <f>SUMIF(开!$BA$8:$BA$213,B14,开!$Z$8:$Z$213)+SUMIF('续 '!$AS$8:$AS$198,B14,'续 '!$R$8:$R$198)+SUMIF(竣!$AT$8:$AT$130,B14,竣!$R$8:$R$130)</f>
        <v>15853.9527</v>
      </c>
      <c r="P14" s="299">
        <f t="shared" si="1"/>
        <v>3088.51</v>
      </c>
      <c r="Q14" s="299">
        <f>SUMIF(开!$BA$8:$BA$213,B14,开!$AA$8:$AA$213)+SUMIF('续 '!$AS$8:$AS$198,B14,'续 '!$S$8:$S$198)+SUMIF(竣!$AT$8:$AT$130,B14,竣!$S$8:$S$130)</f>
        <v>3308</v>
      </c>
      <c r="R14" s="299">
        <f>SUMIF(开!$BA$8:$BA$213,B14,开!$AB$8:$AB$213)+SUMIF('续 '!$AS$8:$AS$198,B14,'续 '!$T$8:$T$198)+SUMIF(竣!$AT$8:$AT$130,B14,竣!$T$8:$T$130)</f>
        <v>12765.4427</v>
      </c>
      <c r="S14" s="309">
        <f>SUMIF(开!$BA$8:$BA$213,B14,开!$BS$8:$BS$213)+SUMIF('续 '!AS$8:AS$198,B14,'续 '!$BQ$8:$BQ$198)+SUMIF(竣!AT$8:AT$130,B14,竣!$BQ$8:$BQ$130)</f>
        <v>18</v>
      </c>
      <c r="T14" s="299">
        <f>SUMIF(开!$BA$8:$BA$213,B14,开!$AC$8:$AC$213)+SUMIF('续 '!$AS$8:$AS$198,B14,'续 '!$U$8:$U$198)+SUMIF(竣!$AT$8:$AT$130,B14,竣!$U$8:$U$130)</f>
        <v>10278.8315</v>
      </c>
      <c r="U14" s="299">
        <f t="shared" si="2"/>
        <v>4438.5315</v>
      </c>
      <c r="V14" s="299">
        <f>SUMIF(开!$BA$8:$BA$213,B14,开!$AD$8:$AD$213)+SUMIF('续 '!$AS$8:$AS$198,B14,'续 '!$V$8:$V$198)+SUMIF(竣!$AT$8:$AT$130,B14,竣!$V$8:$V$130)</f>
        <v>4374.6385</v>
      </c>
      <c r="W14" s="299">
        <f>SUMIF(开!$BA$8:$BA$213,B14,开!$AE$8:$AE$213)+SUMIF('续 '!$AS$8:$AS$198,B14,'续 '!$W$8:$W$198)+SUMIF(竣!$AT$8:$AT$130,B14,竣!$W$8:$W$130)</f>
        <v>5840.3</v>
      </c>
      <c r="X14" s="309">
        <f>SUMIF(开!$BA$8:$BA$213,B14,开!$BR$8:$BR$213)+SUMIF('续 '!AS$8:AS$198,B14,'续 '!$BP$8:$BP$198)+SUMIF(竣!AT$8:AT$130,B14,竣!$BP$8:$BP$130)</f>
        <v>2</v>
      </c>
      <c r="Y14" s="299">
        <f>SUMIF(开!$BA$8:$BA$213,B14,开!$AF$8:$AF$213)+SUMIF('续 '!$AS$8:$AS$198,B14,'续 '!$X$8:$X$198)+SUMIF(竣!$AT$8:$AT$130,B14,竣!$X$8:$X$130)</f>
        <v>1522</v>
      </c>
      <c r="Z14" s="299">
        <f t="shared" si="3"/>
        <v>1386</v>
      </c>
      <c r="AA14" s="299">
        <f>SUMIF(开!$BA$8:$BA$213,B14,开!$AG$8:$AG$213)+SUMIF('续 '!$AS$8:$AS$198,B14,'续 '!$Y$8:$Y$198)+SUMIF(竣!$AT$8:$AT$130,B14,竣!$Y$8:$Y$130)</f>
        <v>1386</v>
      </c>
      <c r="AB14" s="299">
        <f>SUMIF(开!$BA$8:$BA$213,B14,开!$AH$8:$AH$213)+SUMIF('续 '!$AS$8:$AS$198,B14,'续 '!$Z$8:$Z$198)+SUMIF(竣!$AT$8:$AT$130,B14,竣!$Z$8:$Z$130)</f>
        <v>136</v>
      </c>
      <c r="AC14" s="299">
        <f>SUMIF(开!$BA$8:$BA$213,B14,开!$BT$8:$BT$213)+SUMIF('续 '!AS$8:AS$198,B14,'续 '!$BR$8:$BR$198)+SUMIF(竣!AT$8:AT$130,B14,竣!$BR$8:$BR$130)</f>
        <v>22</v>
      </c>
      <c r="AD14" s="299">
        <f>SUMIF(开!$BA$8:$BA$213,B14,开!$AI$8:$AI$213)+SUMIF('续 '!$AS$8:$AS$198,B14,'续 '!$AA$8:$AA$198)+SUMIF(竣!$AT$8:$AT$130,B14,竣!$AA$8:$AA$130)</f>
        <v>9965.68</v>
      </c>
      <c r="AE14" s="299">
        <f t="shared" si="4"/>
        <v>585.120000000001</v>
      </c>
      <c r="AF14" s="299">
        <f>SUMIF(开!$BA$8:$BA$213,B14,开!$AJ$8:$AJ$213)+SUMIF('续 '!$AS$8:$AS$198,B14,'续 '!$AB$8:$AB$198)+SUMIF(竣!$AT$8:$AT$130,B14,竣!$AB$8:$AB$130)</f>
        <v>585.12</v>
      </c>
      <c r="AG14" s="299">
        <f>SUMIF(开!$BA$8:$BA$213,B14,开!$AK$8:$AK$213)+SUMIF('续 '!$AS$8:$AS$198,B14,'续 '!$AC$8:$AC$198)+SUMIF(竣!$AT$8:$AT$130,B14,竣!$AC$8:$AC$130)</f>
        <v>9380.56</v>
      </c>
      <c r="AH14" s="299">
        <f>(SUMIF(开!$BA$8:$BA$213,B14,开!$AL$8:$AL$213)+SUMIF('续 '!$AS$8:$AS$198,B14,'续 '!$AD$8:$AD$198)+SUMIF(竣!$AT$8:$AT$130,B14,竣!$AD$8:$AD$130))/10000</f>
        <v>29.527</v>
      </c>
      <c r="AI14" s="299">
        <f>SUMIF(开!$BA$8:$BA$213,B14,开!$BU$8:$BU$213)+SUMIF('续 '!AS$8:AS$198,B14,'续 '!$BS$8:$BS$198)+SUMIF(竣!AT$8:AT$130,B14,竣!$BS$8:$BS$130)</f>
        <v>45</v>
      </c>
      <c r="AJ14" s="299">
        <f t="shared" si="5"/>
        <v>44.5369086</v>
      </c>
      <c r="AK14" s="299">
        <f t="shared" si="6"/>
        <v>23.1061086</v>
      </c>
      <c r="AL14" s="299">
        <f>(SUMIF(开!$BA$8:$BA$213,B14,开!$AO$8:$AO$213)+SUMIF('续 '!$AS$8:$AS$198,B14,'续 '!$AF$8:$AF$198)+SUMIF(竣!$AT$8:$AT$130,B14,竣!$AG$8:$AG$130))/10000</f>
        <v>6.3216</v>
      </c>
      <c r="AM14" s="299">
        <f>(SUMIF(开!$BA$8:$BA$213,B14,开!$AP$8:$AP$213)+SUMIF('续 '!$AS$8:$AS$198,B14,'续 '!$AH$8:$AH$198)+SUMIF(竣!$AT$8:$AT$130,B14,竣!$AH$8:$AH$130))/10000</f>
        <v>21.4308</v>
      </c>
      <c r="AN14" s="312"/>
      <c r="AO14" s="315"/>
    </row>
    <row r="15" s="276" customFormat="1" ht="20.1" customHeight="1" spans="1:41">
      <c r="A15" s="300" t="s">
        <v>2858</v>
      </c>
      <c r="B15" s="290"/>
      <c r="C15" s="293"/>
      <c r="D15" s="293"/>
      <c r="E15" s="293"/>
      <c r="F15" s="294"/>
      <c r="G15" s="294"/>
      <c r="H15" s="294"/>
      <c r="I15" s="294"/>
      <c r="J15" s="294"/>
      <c r="K15" s="294"/>
      <c r="L15" s="294"/>
      <c r="M15" s="294"/>
      <c r="N15" s="299"/>
      <c r="O15" s="299"/>
      <c r="P15" s="294"/>
      <c r="Q15" s="299"/>
      <c r="R15" s="299"/>
      <c r="S15" s="309"/>
      <c r="T15" s="299"/>
      <c r="U15" s="299"/>
      <c r="V15" s="299"/>
      <c r="W15" s="299"/>
      <c r="X15" s="309"/>
      <c r="Y15" s="299"/>
      <c r="Z15" s="299"/>
      <c r="AA15" s="299"/>
      <c r="AB15" s="299"/>
      <c r="AC15" s="299"/>
      <c r="AD15" s="299"/>
      <c r="AE15" s="299"/>
      <c r="AF15" s="299"/>
      <c r="AG15" s="299"/>
      <c r="AH15" s="299"/>
      <c r="AI15" s="299"/>
      <c r="AJ15" s="299"/>
      <c r="AK15" s="299"/>
      <c r="AL15" s="299"/>
      <c r="AM15" s="299"/>
      <c r="AN15" s="311"/>
      <c r="AO15" s="314"/>
    </row>
    <row r="16" s="276" customFormat="1" ht="20.1" customHeight="1" spans="1:41">
      <c r="A16" s="300" t="s">
        <v>2859</v>
      </c>
      <c r="B16" s="297" t="s">
        <v>2110</v>
      </c>
      <c r="C16" s="293">
        <f>行业!F53/10000</f>
        <v>8.257</v>
      </c>
      <c r="D16" s="293"/>
      <c r="E16" s="293"/>
      <c r="F16" s="294">
        <f>行业!J53</f>
        <v>7</v>
      </c>
      <c r="G16" s="294"/>
      <c r="H16" s="294"/>
      <c r="I16" s="294"/>
      <c r="J16" s="294">
        <f>行业!Z53</f>
        <v>4</v>
      </c>
      <c r="K16" s="294"/>
      <c r="L16" s="294"/>
      <c r="M16" s="294"/>
      <c r="N16" s="294">
        <f>SUMIF(开!$BA$8:$BA$213,B16,开!$BQ$8:$BQ$213)+SUMIF('续 '!$AS$8:$AS$198,B16,'续 '!$BO$8:$BO$198)+SUMIF(竣!$AT$8:$AT$130,B16,竣!$BO$8:$BO$130)</f>
        <v>5</v>
      </c>
      <c r="O16" s="294">
        <f>SUMIF(开!$BA$8:$BA$213,B16,开!$Z$8:$Z$213)+SUMIF('续 '!$AS$8:$AS$198,B16,'续 '!$R$8:$R$198)+SUMIF(竣!$AT$8:$AT$130,B16,竣!$R$8:$R$130)</f>
        <v>2273.89</v>
      </c>
      <c r="P16" s="294">
        <f t="shared" si="1"/>
        <v>340</v>
      </c>
      <c r="Q16" s="294">
        <f>SUMIF(开!$BA$8:$BA$213,B16,开!$AA$8:$AA$213)+SUMIF('续 '!$AS$8:$AS$198,B16,'续 '!$S$8:$S$198)+SUMIF(竣!$AT$8:$AT$130,B16,竣!$S$8:$S$130)</f>
        <v>340</v>
      </c>
      <c r="R16" s="294">
        <f>SUMIF(开!$BA$8:$BA$213,B16,开!$AB$8:$AB$213)+SUMIF('续 '!$AS$8:$AS$198,B16,'续 '!$T$8:$T$198)+SUMIF(竣!$AT$8:$AT$130,B16,竣!$T$8:$T$130)</f>
        <v>1933.89</v>
      </c>
      <c r="S16" s="308">
        <f>SUMIF(开!$BA$8:$BA$213,B16,开!$BS$8:$BS$213)+SUMIF('续 '!AS$8:AS$198,B16,'续 '!$BQ$8:$BQ$198)+SUMIF(竣!AT$8:AT$130,B16,竣!$BQ$8:$BQ$130)</f>
        <v>2</v>
      </c>
      <c r="T16" s="294">
        <f>SUMIF(开!$BA$8:$BA$213,B16,开!$AC$8:$AC$213)+SUMIF('续 '!$AS$8:$AS$198,B16,'续 '!$U$8:$U$198)+SUMIF(竣!$AT$8:$AT$130,B16,竣!$U$8:$U$130)</f>
        <v>587.7915</v>
      </c>
      <c r="U16" s="294">
        <f>T16-W16</f>
        <v>587.7915</v>
      </c>
      <c r="V16" s="294">
        <f>SUMIF(开!$BA$8:$BA$213,B16,开!$AD$8:$AD$213)+SUMIF('续 '!$AS$8:$AS$198,B16,'续 '!$V$8:$V$198)+SUMIF(竣!$AT$8:$AT$130,B16,竣!$V$8:$V$130)</f>
        <v>587.7915</v>
      </c>
      <c r="W16" s="294">
        <f>SUMIF(开!$BA$8:$BA$213,B16,开!$AE$8:$AE$213)+SUMIF('续 '!$AS$8:$AS$198,B16,'续 '!$W$8:$W$198)+SUMIF(竣!$AT$8:$AT$130,B16,竣!$W$8:$W$130)</f>
        <v>0</v>
      </c>
      <c r="X16" s="308">
        <f>SUMIF(开!$BA$8:$BA$213,B16,开!$BR$8:$BR$213)+SUMIF('续 '!AS$8:AS$198,B16,'续 '!$BP$8:$BP$198)+SUMIF(竣!AT$8:AT$130,B16,竣!$BP$8:$BP$130)</f>
        <v>0</v>
      </c>
      <c r="Y16" s="294">
        <f>SUMIF(开!$BA$8:$BA$213,B16,开!$AF$8:$AF$213)+SUMIF('续 '!$AS$8:$AS$198,B16,'续 '!$X$8:$X$198)+SUMIF(竣!$AT$8:$AT$130,B16,竣!$X$8:$X$130)</f>
        <v>0</v>
      </c>
      <c r="Z16" s="294">
        <f>Y16-AB16</f>
        <v>0</v>
      </c>
      <c r="AA16" s="294">
        <f>SUMIF(开!$BA$8:$BA$213,B16,开!$AG$8:$AG$213)+SUMIF('续 '!$AS$8:$AS$198,B16,'续 '!$Y$8:$Y$198)+SUMIF(竣!$AT$8:$AT$130,B16,竣!$Y$8:$Y$130)</f>
        <v>0</v>
      </c>
      <c r="AB16" s="294">
        <f>SUMIF(开!$BA$8:$BA$213,B16,开!$AH$8:$AH$213)+SUMIF('续 '!$AS$8:$AS$198,B16,'续 '!$Z$8:$Z$198)+SUMIF(竣!$AT$8:$AT$130,B16,竣!$Z$8:$Z$130)</f>
        <v>0</v>
      </c>
      <c r="AC16" s="294">
        <f>SUMIF(开!$BA$8:$BA$213,B16,开!$BT$8:$BT$213)+SUMIF('续 '!AS$8:AS$198,B16,'续 '!$BR$8:$BR$198)+SUMIF(竣!AT$8:AT$130,B16,竣!$BR$8:$BR$130)</f>
        <v>5</v>
      </c>
      <c r="AD16" s="294">
        <f>SUMIF(开!$BA$8:$BA$213,B16,开!$AI$8:$AI$213)+SUMIF('续 '!$AS$8:$AS$198,B16,'续 '!$AA$8:$AA$198)+SUMIF(竣!$AT$8:$AT$130,B16,竣!$AA$8:$AA$130)</f>
        <v>1220</v>
      </c>
      <c r="AE16" s="294">
        <f t="shared" si="4"/>
        <v>408</v>
      </c>
      <c r="AF16" s="294">
        <f>SUMIF(开!$BA$8:$BA$213,B16,开!$AJ$8:$AJ$213)+SUMIF('续 '!$AS$8:$AS$198,B16,'续 '!$AB$8:$AB$198)+SUMIF(竣!$AT$8:$AT$130,B16,竣!$AB$8:$AB$130)</f>
        <v>408</v>
      </c>
      <c r="AG16" s="294">
        <f>SUMIF(开!$BA$8:$BA$213,B16,开!$AK$8:$AK$213)+SUMIF('续 '!$AS$8:$AS$198,B16,'续 '!$AC$8:$AC$198)+SUMIF(竣!$AT$8:$AT$130,B16,竣!$AC$8:$AC$130)</f>
        <v>812</v>
      </c>
      <c r="AH16" s="294">
        <f>(SUMIF(开!$BA$8:$BA$213,B16,开!$AL$8:$AL$213)+SUMIF('续 '!$AS$8:$AS$198,B16,'续 '!$AD$8:$AD$198)+SUMIF(竣!$AT$8:$AT$130,B16,竣!$AD$8:$AD$130))/10000</f>
        <v>2.36</v>
      </c>
      <c r="AI16" s="294">
        <f>SUMIF(开!$BA$8:$BA$213,B16,开!$BU$8:$BU$213)+SUMIF('续 '!AS$8:AS$198,B16,'续 '!$BS$8:$BS$198)+SUMIF(竣!AT$8:AT$130,B16,竣!$BS$8:$BS$130)</f>
        <v>5</v>
      </c>
      <c r="AJ16" s="294">
        <f t="shared" si="5"/>
        <v>8.257</v>
      </c>
      <c r="AK16" s="294">
        <f t="shared" si="6"/>
        <v>7.657</v>
      </c>
      <c r="AL16" s="294">
        <f>(SUMIF(开!$BA$8:$BA$213,B16,开!$AO$8:$AO$213)+SUMIF('续 '!$AS$8:$AS$198,B16,'续 '!$AF$8:$AF$198)+SUMIF(竣!$AT$8:$AT$130,B16,竣!$AG$8:$AG$130))/10000</f>
        <v>3.16</v>
      </c>
      <c r="AM16" s="294">
        <f>(SUMIF(开!$BA$8:$BA$213,B16,开!$AP$8:$AP$213)+SUMIF('续 '!$AS$8:$AS$198,B16,'续 '!$AH$8:$AH$198)+SUMIF(竣!$AT$8:$AT$130,B16,竣!$AH$8:$AH$130))/10000</f>
        <v>0.6</v>
      </c>
      <c r="AN16" s="311"/>
      <c r="AO16" s="314"/>
    </row>
    <row r="17" s="276" customFormat="1" ht="20.1" customHeight="1" spans="1:41">
      <c r="A17" s="300" t="s">
        <v>2860</v>
      </c>
      <c r="B17" s="290"/>
      <c r="C17" s="293">
        <f>SUM(C18:C20)</f>
        <v>13.208</v>
      </c>
      <c r="D17" s="293"/>
      <c r="E17" s="293"/>
      <c r="F17" s="294">
        <f>SUM(F18:F20)</f>
        <v>11</v>
      </c>
      <c r="G17" s="294"/>
      <c r="H17" s="294"/>
      <c r="I17" s="294"/>
      <c r="J17" s="294">
        <f>SUM(J18:J20)</f>
        <v>5</v>
      </c>
      <c r="K17" s="294"/>
      <c r="L17" s="294"/>
      <c r="M17" s="294"/>
      <c r="N17" s="294">
        <f t="shared" ref="N17:AM17" si="9">SUM(N18:N20)</f>
        <v>21</v>
      </c>
      <c r="O17" s="294">
        <f t="shared" si="9"/>
        <v>10411.527</v>
      </c>
      <c r="P17" s="294">
        <f t="shared" si="9"/>
        <v>9669.527</v>
      </c>
      <c r="Q17" s="294">
        <f t="shared" si="9"/>
        <v>9670.007</v>
      </c>
      <c r="R17" s="294">
        <f t="shared" si="9"/>
        <v>742</v>
      </c>
      <c r="S17" s="294">
        <f t="shared" si="9"/>
        <v>0</v>
      </c>
      <c r="T17" s="294">
        <f t="shared" si="9"/>
        <v>0</v>
      </c>
      <c r="U17" s="294">
        <f t="shared" si="9"/>
        <v>0</v>
      </c>
      <c r="V17" s="294">
        <f t="shared" si="9"/>
        <v>0</v>
      </c>
      <c r="W17" s="294">
        <f t="shared" si="9"/>
        <v>0</v>
      </c>
      <c r="X17" s="294">
        <f t="shared" si="9"/>
        <v>0</v>
      </c>
      <c r="Y17" s="294">
        <f t="shared" si="9"/>
        <v>0</v>
      </c>
      <c r="Z17" s="294">
        <f t="shared" si="9"/>
        <v>0</v>
      </c>
      <c r="AA17" s="294">
        <f t="shared" si="9"/>
        <v>0</v>
      </c>
      <c r="AB17" s="294">
        <f t="shared" si="9"/>
        <v>0</v>
      </c>
      <c r="AC17" s="294">
        <f t="shared" si="9"/>
        <v>8</v>
      </c>
      <c r="AD17" s="294">
        <f t="shared" si="9"/>
        <v>524.05</v>
      </c>
      <c r="AE17" s="294">
        <f t="shared" si="9"/>
        <v>363.05</v>
      </c>
      <c r="AF17" s="294">
        <f t="shared" si="9"/>
        <v>363.05</v>
      </c>
      <c r="AG17" s="294">
        <f t="shared" si="9"/>
        <v>161</v>
      </c>
      <c r="AH17" s="294">
        <f t="shared" si="9"/>
        <v>3.894</v>
      </c>
      <c r="AI17" s="294">
        <f t="shared" si="9"/>
        <v>9</v>
      </c>
      <c r="AJ17" s="294">
        <f t="shared" si="9"/>
        <v>13.208</v>
      </c>
      <c r="AK17" s="294">
        <f t="shared" si="9"/>
        <v>10.9367</v>
      </c>
      <c r="AL17" s="294">
        <f t="shared" si="9"/>
        <v>1.726</v>
      </c>
      <c r="AM17" s="294">
        <f t="shared" si="9"/>
        <v>2.2713</v>
      </c>
      <c r="AN17" s="311"/>
      <c r="AO17" s="314"/>
    </row>
    <row r="18" s="277" customFormat="1" ht="20.1" customHeight="1" spans="1:41">
      <c r="A18" s="301" t="s">
        <v>2861</v>
      </c>
      <c r="B18" s="297" t="s">
        <v>2138</v>
      </c>
      <c r="C18" s="298">
        <f>行业!F57/10000</f>
        <v>11.1481</v>
      </c>
      <c r="D18" s="298"/>
      <c r="E18" s="298"/>
      <c r="F18" s="299">
        <f>行业!J57</f>
        <v>6</v>
      </c>
      <c r="G18" s="299"/>
      <c r="H18" s="299"/>
      <c r="I18" s="299"/>
      <c r="J18" s="299">
        <f>行业!Z57</f>
        <v>2</v>
      </c>
      <c r="K18" s="299"/>
      <c r="L18" s="299"/>
      <c r="M18" s="299"/>
      <c r="N18" s="299">
        <f>SUMIF(开!$BA$8:$BA$213,B18,开!$BQ$8:$BQ$213)+SUMIF('续 '!$AS$8:$AS$198,B18,'续 '!$BO$8:$BO$198)+SUMIF(竣!$AT$8:$AT$130,B18,竣!$BO$8:$BO$130)</f>
        <v>15</v>
      </c>
      <c r="O18" s="299">
        <f>SUMIF(开!$BA$8:$BA$213,B18,开!$Z$8:$Z$213)+SUMIF('续 '!$AS$8:$AS$198,B18,'续 '!$R$8:$R$198)+SUMIF(竣!$AT$8:$AT$130,B18,竣!$R$8:$R$130)</f>
        <v>9866.67</v>
      </c>
      <c r="P18" s="299">
        <f t="shared" si="1"/>
        <v>9644.67</v>
      </c>
      <c r="Q18" s="299">
        <f>SUMIF(开!$BA$8:$BA$213,B18,开!$AA$8:$AA$213)+SUMIF('续 '!$AS$8:$AS$198,B18,'续 '!$S$8:$S$198)+SUMIF(竣!$AT$8:$AT$130,B18,竣!$S$8:$S$130)</f>
        <v>9645.15</v>
      </c>
      <c r="R18" s="299">
        <f>SUMIF(开!$BA$8:$BA$213,B18,开!$AB$8:$AB$213)+SUMIF('续 '!$AS$8:$AS$198,B18,'续 '!$T$8:$T$198)+SUMIF(竣!$AT$8:$AT$130,B18,竣!$T$8:$T$130)</f>
        <v>222</v>
      </c>
      <c r="S18" s="309">
        <f>SUMIF(开!$BA$8:$BA$213,B18,开!$BS$8:$BS$213)+SUMIF('续 '!AS$8:AS$198,B18,'续 '!$BQ$8:$BQ$198)+SUMIF(竣!AT$8:AT$130,B18,竣!$BQ$8:$BQ$130)</f>
        <v>0</v>
      </c>
      <c r="T18" s="299">
        <f>SUMIF(开!$BA$8:$BA$213,B18,开!$AC$8:$AC$213)+SUMIF('续 '!$AS$8:$AS$198,B18,'续 '!$U$8:$U$198)+SUMIF(竣!$AT$8:$AT$130,B18,竣!$U$8:$U$130)</f>
        <v>0</v>
      </c>
      <c r="U18" s="299">
        <f t="shared" si="2"/>
        <v>0</v>
      </c>
      <c r="V18" s="299">
        <f>SUMIF(开!$BA$8:$BA$213,B18,开!$AD$8:$AD$213)+SUMIF('续 '!$AS$8:$AS$198,B18,'续 '!$V$8:$V$198)+SUMIF(竣!$AT$8:$AT$130,B18,竣!$V$8:$V$130)</f>
        <v>0</v>
      </c>
      <c r="W18" s="299">
        <f>SUMIF(开!$BA$8:$BA$213,B18,开!$AE$8:$AE$213)+SUMIF('续 '!$AS$8:$AS$198,B18,'续 '!$W$8:$W$198)+SUMIF(竣!$AT$8:$AT$130,B18,竣!$W$8:$W$130)</f>
        <v>0</v>
      </c>
      <c r="X18" s="309">
        <f>SUMIF(开!$BA$8:$BA$213,B18,开!$BR$8:$BR$213)+SUMIF('续 '!AS$8:AS$198,B18,'续 '!$BP$8:$BP$198)+SUMIF(竣!AT$8:AT$130,B18,竣!$BP$8:$BP$130)</f>
        <v>0</v>
      </c>
      <c r="Y18" s="299">
        <f>SUMIF(开!$BA$8:$BA$213,B18,开!$AF$8:$AF$213)+SUMIF('续 '!$AS$8:$AS$198,B18,'续 '!$X$8:$X$198)+SUMIF(竣!$AT$8:$AT$130,B18,竣!$X$8:$X$130)</f>
        <v>0</v>
      </c>
      <c r="Z18" s="299">
        <f t="shared" si="3"/>
        <v>0</v>
      </c>
      <c r="AA18" s="299">
        <f>SUMIF(开!$BA$8:$BA$213,B18,开!$AG$8:$AG$213)+SUMIF('续 '!$AS$8:$AS$198,B18,'续 '!$Y$8:$Y$198)+SUMIF(竣!$AT$8:$AT$130,B18,竣!$Y$8:$Y$130)</f>
        <v>0</v>
      </c>
      <c r="AB18" s="299">
        <f>SUMIF(开!$BA$8:$BA$213,B18,开!$AH$8:$AH$213)+SUMIF('续 '!$AS$8:$AS$198,B18,'续 '!$Z$8:$Z$198)+SUMIF(竣!$AT$8:$AT$130,B18,竣!$Z$8:$Z$130)</f>
        <v>0</v>
      </c>
      <c r="AC18" s="299">
        <f>SUMIF(开!$BA$8:$BA$213,B18,开!$BT$8:$BT$213)+SUMIF('续 '!AS$8:AS$198,B18,'续 '!$BR$8:$BR$198)+SUMIF(竣!AT$8:AT$130,B18,竣!$BR$8:$BR$130)</f>
        <v>4</v>
      </c>
      <c r="AD18" s="299">
        <f>SUMIF(开!$BA$8:$BA$213,B18,开!$AI$8:$AI$213)+SUMIF('续 '!$AS$8:$AS$198,B18,'续 '!$AA$8:$AA$198)+SUMIF(竣!$AT$8:$AT$130,B18,竣!$AA$8:$AA$130)</f>
        <v>176.05</v>
      </c>
      <c r="AE18" s="299">
        <f t="shared" si="4"/>
        <v>159.05</v>
      </c>
      <c r="AF18" s="299">
        <f>SUMIF(开!$BA$8:$BA$213,B18,开!$AJ$8:$AJ$213)+SUMIF('续 '!$AS$8:$AS$198,B18,'续 '!$AB$8:$AB$198)+SUMIF(竣!$AT$8:$AT$130,B18,竣!$AB$8:$AB$130)</f>
        <v>159.05</v>
      </c>
      <c r="AG18" s="299">
        <f>SUMIF(开!$BA$8:$BA$213,B18,开!$AK$8:$AK$213)+SUMIF('续 '!$AS$8:$AS$198,B18,'续 '!$AC$8:$AC$198)+SUMIF(竣!$AT$8:$AT$130,B18,竣!$AC$8:$AC$130)</f>
        <v>17</v>
      </c>
      <c r="AH18" s="299">
        <f>(SUMIF(开!$BA$8:$BA$213,B18,开!$AL$8:$AL$213)+SUMIF('续 '!$AS$8:$AS$198,B18,'续 '!$AD$8:$AD$198)+SUMIF(竣!$AT$8:$AT$130,B18,竣!$AD$8:$AD$130))/10000</f>
        <v>3.394</v>
      </c>
      <c r="AI18" s="299">
        <f>SUMIF(开!$BA$8:$BA$213,B18,开!$BU$8:$BU$213)+SUMIF('续 '!AS$8:AS$198,B18,'续 '!$BS$8:$BS$198)+SUMIF(竣!AT$8:AT$130,B18,竣!$BS$8:$BS$130)</f>
        <v>8</v>
      </c>
      <c r="AJ18" s="299">
        <f t="shared" si="5"/>
        <v>11.1481</v>
      </c>
      <c r="AK18" s="299">
        <f t="shared" si="6"/>
        <v>9.2541</v>
      </c>
      <c r="AL18" s="299">
        <f>(SUMIF(开!$BA$8:$BA$213,B18,开!$AO$8:$AO$213)+SUMIF('续 '!$AS$8:$AS$198,B18,'续 '!$AF$8:$AF$198)+SUMIF(竣!$AT$8:$AT$130,B18,竣!$AG$8:$AG$130))/10000</f>
        <v>1.726</v>
      </c>
      <c r="AM18" s="299">
        <f>(SUMIF(开!$BA$8:$BA$213,B18,开!$AP$8:$AP$213)+SUMIF('续 '!$AS$8:$AS$198,B18,'续 '!$AH$8:$AH$198)+SUMIF(竣!$AT$8:$AT$130,B18,竣!$AH$8:$AH$130))/10000</f>
        <v>1.894</v>
      </c>
      <c r="AN18" s="312"/>
      <c r="AO18" s="315"/>
    </row>
    <row r="19" s="277" customFormat="1" ht="20.1" customHeight="1" spans="1:41">
      <c r="A19" s="301" t="s">
        <v>2862</v>
      </c>
      <c r="B19" s="297" t="s">
        <v>2147</v>
      </c>
      <c r="C19" s="298">
        <f>行业!F58/10000</f>
        <v>1.7599</v>
      </c>
      <c r="D19" s="298"/>
      <c r="E19" s="298"/>
      <c r="F19" s="299">
        <f>行业!J58</f>
        <v>4</v>
      </c>
      <c r="G19" s="299"/>
      <c r="H19" s="299"/>
      <c r="I19" s="299"/>
      <c r="J19" s="299">
        <f>行业!Z58</f>
        <v>3</v>
      </c>
      <c r="K19" s="299"/>
      <c r="L19" s="299"/>
      <c r="M19" s="299"/>
      <c r="N19" s="299">
        <f>SUMIF(开!$BA$8:$BA$213,B19,开!$BQ$8:$BQ$213)+SUMIF('续 '!$AS$8:$AS$198,B19,'续 '!$BO$8:$BO$198)+SUMIF(竣!$AT$8:$AT$130,B19,竣!$BO$8:$BO$130)</f>
        <v>5</v>
      </c>
      <c r="O19" s="299">
        <f>SUMIF(开!$BA$8:$BA$213,B19,开!$Z$8:$Z$213)+SUMIF('续 '!$AS$8:$AS$198,B19,'续 '!$R$8:$R$198)+SUMIF(竣!$AT$8:$AT$130,B19,竣!$R$8:$R$130)</f>
        <v>414.857</v>
      </c>
      <c r="P19" s="299">
        <f t="shared" si="1"/>
        <v>24.857</v>
      </c>
      <c r="Q19" s="299">
        <f>SUMIF(开!$BA$8:$BA$213,B19,开!$AA$8:$AA$213)+SUMIF('续 '!$AS$8:$AS$198,B19,'续 '!$S$8:$S$198)+SUMIF(竣!$AT$8:$AT$130,B19,竣!$S$8:$S$130)</f>
        <v>24.857</v>
      </c>
      <c r="R19" s="299">
        <f>SUMIF(开!$BA$8:$BA$213,B19,开!$AB$8:$AB$213)+SUMIF('续 '!$AS$8:$AS$198,B19,'续 '!$T$8:$T$198)+SUMIF(竣!$AT$8:$AT$130,B19,竣!$T$8:$T$130)</f>
        <v>390</v>
      </c>
      <c r="S19" s="309">
        <f>SUMIF(开!$BA$8:$BA$213,B19,开!$BS$8:$BS$213)+SUMIF('续 '!AS$8:AS$198,B19,'续 '!$BQ$8:$BQ$198)+SUMIF(竣!AT$8:AT$130,B19,竣!$BQ$8:$BQ$130)</f>
        <v>0</v>
      </c>
      <c r="T19" s="299">
        <f>SUMIF(开!$BA$8:$BA$213,B19,开!$AC$8:$AC$213)+SUMIF('续 '!$AS$8:$AS$198,B19,'续 '!$U$8:$U$198)+SUMIF(竣!$AT$8:$AT$130,B19,竣!$U$8:$U$130)</f>
        <v>0</v>
      </c>
      <c r="U19" s="299">
        <f t="shared" si="2"/>
        <v>0</v>
      </c>
      <c r="V19" s="299">
        <f>SUMIF(开!$BA$8:$BA$213,B19,开!$AD$8:$AD$213)+SUMIF('续 '!$AS$8:$AS$198,B19,'续 '!$V$8:$V$198)+SUMIF(竣!$AT$8:$AT$130,B19,竣!$V$8:$V$130)</f>
        <v>0</v>
      </c>
      <c r="W19" s="299">
        <f>SUMIF(开!$BA$8:$BA$213,B19,开!$AE$8:$AE$213)+SUMIF('续 '!$AS$8:$AS$198,B19,'续 '!$W$8:$W$198)+SUMIF(竣!$AT$8:$AT$130,B19,竣!$W$8:$W$130)</f>
        <v>0</v>
      </c>
      <c r="X19" s="309">
        <f>SUMIF(开!$BA$8:$BA$213,B19,开!$BR$8:$BR$213)+SUMIF('续 '!AS$8:AS$198,B19,'续 '!$BP$8:$BP$198)+SUMIF(竣!AT$8:AT$130,B19,竣!$BP$8:$BP$130)</f>
        <v>0</v>
      </c>
      <c r="Y19" s="299">
        <f>SUMIF(开!$BA$8:$BA$213,B19,开!$AF$8:$AF$213)+SUMIF('续 '!$AS$8:$AS$198,B19,'续 '!$X$8:$X$198)+SUMIF(竣!$AT$8:$AT$130,B19,竣!$X$8:$X$130)</f>
        <v>0</v>
      </c>
      <c r="Z19" s="299">
        <f t="shared" si="3"/>
        <v>0</v>
      </c>
      <c r="AA19" s="299">
        <f>SUMIF(开!$BA$8:$BA$213,B19,开!$AG$8:$AG$213)+SUMIF('续 '!$AS$8:$AS$198,B19,'续 '!$Y$8:$Y$198)+SUMIF(竣!$AT$8:$AT$130,B19,竣!$Y$8:$Y$130)</f>
        <v>0</v>
      </c>
      <c r="AB19" s="299">
        <f>SUMIF(开!$BA$8:$BA$213,B19,开!$AH$8:$AH$213)+SUMIF('续 '!$AS$8:$AS$198,B19,'续 '!$Z$8:$Z$198)+SUMIF(竣!$AT$8:$AT$130,B19,竣!$Z$8:$Z$130)</f>
        <v>0</v>
      </c>
      <c r="AC19" s="299">
        <f>SUMIF(开!$BA$8:$BA$213,B19,开!$BT$8:$BT$213)+SUMIF('续 '!AS$8:AS$198,B19,'续 '!$BR$8:$BR$198)+SUMIF(竣!AT$8:AT$130,B19,竣!$BR$8:$BR$130)</f>
        <v>3</v>
      </c>
      <c r="AD19" s="299">
        <f>SUMIF(开!$BA$8:$BA$213,B19,开!$AI$8:$AI$213)+SUMIF('续 '!$AS$8:$AS$198,B19,'续 '!$AA$8:$AA$198)+SUMIF(竣!$AT$8:$AT$130,B19,竣!$AA$8:$AA$130)</f>
        <v>261</v>
      </c>
      <c r="AE19" s="299">
        <f t="shared" si="4"/>
        <v>153</v>
      </c>
      <c r="AF19" s="299">
        <f>SUMIF(开!$BA$8:$BA$213,B19,开!$AJ$8:$AJ$213)+SUMIF('续 '!$AS$8:$AS$198,B19,'续 '!$AB$8:$AB$198)+SUMIF(竣!$AT$8:$AT$130,B19,竣!$AB$8:$AB$130)</f>
        <v>153</v>
      </c>
      <c r="AG19" s="299">
        <f>SUMIF(开!$BA$8:$BA$213,B19,开!$AK$8:$AK$213)+SUMIF('续 '!$AS$8:$AS$198,B19,'续 '!$AC$8:$AC$198)+SUMIF(竣!$AT$8:$AT$130,B19,竣!$AC$8:$AC$130)</f>
        <v>108</v>
      </c>
      <c r="AH19" s="299">
        <f>(SUMIF(开!$BA$8:$BA$213,B19,开!$AL$8:$AL$213)+SUMIF('续 '!$AS$8:$AS$198,B19,'续 '!$AD$8:$AD$198)+SUMIF(竣!$AT$8:$AT$130,B19,竣!$AD$8:$AD$130))/10000</f>
        <v>0.5</v>
      </c>
      <c r="AI19" s="299">
        <f>SUMIF(开!$BA$8:$BA$213,B19,开!$BU$8:$BU$213)+SUMIF('续 '!AS$8:AS$198,B19,'续 '!$BS$8:$BS$198)+SUMIF(竣!AT$8:AT$130,B19,竣!$BS$8:$BS$130)</f>
        <v>1</v>
      </c>
      <c r="AJ19" s="299">
        <f t="shared" si="5"/>
        <v>1.7599</v>
      </c>
      <c r="AK19" s="299">
        <f t="shared" si="6"/>
        <v>1.3826</v>
      </c>
      <c r="AL19" s="299">
        <f>(SUMIF(开!$BA$8:$BA$213,B19,开!$AO$8:$AO$213)+SUMIF('续 '!$AS$8:$AS$198,B19,'续 '!$AF$8:$AF$198)+SUMIF(竣!$AT$8:$AT$130,B19,竣!$AG$8:$AG$130))/10000</f>
        <v>0</v>
      </c>
      <c r="AM19" s="299">
        <f>(SUMIF(开!$BA$8:$BA$213,B19,开!$AP$8:$AP$213)+SUMIF('续 '!$AS$8:$AS$198,B19,'续 '!$AH$8:$AH$198)+SUMIF(竣!$AT$8:$AT$130,B19,竣!$AH$8:$AH$130))/10000</f>
        <v>0.3773</v>
      </c>
      <c r="AN19" s="312"/>
      <c r="AO19" s="315"/>
    </row>
    <row r="20" s="277" customFormat="1" ht="20.1" customHeight="1" spans="1:41">
      <c r="A20" s="301" t="s">
        <v>2863</v>
      </c>
      <c r="B20" s="297" t="s">
        <v>2154</v>
      </c>
      <c r="C20" s="298">
        <f>行业!F59/10000</f>
        <v>0.3</v>
      </c>
      <c r="D20" s="298"/>
      <c r="E20" s="298"/>
      <c r="F20" s="299">
        <f>行业!J59</f>
        <v>1</v>
      </c>
      <c r="G20" s="299"/>
      <c r="H20" s="299"/>
      <c r="I20" s="299"/>
      <c r="J20" s="299">
        <f>行业!Z59</f>
        <v>0</v>
      </c>
      <c r="K20" s="299"/>
      <c r="L20" s="299"/>
      <c r="M20" s="299"/>
      <c r="N20" s="299">
        <f>SUMIF(开!$BA$8:$BA$213,B20,开!$BQ$8:$BQ$213)+SUMIF('续 '!$AS$8:$AS$198,B20,'续 '!$BO$8:$BO$198)+SUMIF(竣!$AT$8:$AT$130,B20,竣!$BO$8:$BO$130)</f>
        <v>1</v>
      </c>
      <c r="O20" s="299">
        <f>SUMIF(开!$BA$8:$BA$213,B20,开!$Z$8:$Z$213)+SUMIF('续 '!$AS$8:$AS$198,B20,'续 '!$R$8:$R$198)+SUMIF(竣!$AT$8:$AT$130,B20,竣!$R$8:$R$130)</f>
        <v>130</v>
      </c>
      <c r="P20" s="299">
        <f t="shared" si="1"/>
        <v>0</v>
      </c>
      <c r="Q20" s="299">
        <f>SUMIF(开!$BA$8:$BA$213,B20,开!$AA$8:$AA$213)+SUMIF('续 '!$AS$8:$AS$198,B20,'续 '!$S$8:$S$198)+SUMIF(竣!$AT$8:$AT$130,B20,竣!$S$8:$S$130)</f>
        <v>0</v>
      </c>
      <c r="R20" s="299">
        <f>SUMIF(开!$BA$8:$BA$213,B20,开!$AB$8:$AB$213)+SUMIF('续 '!$AS$8:$AS$198,B20,'续 '!$T$8:$T$198)+SUMIF(竣!$AT$8:$AT$130,B20,竣!$T$8:$T$130)</f>
        <v>130</v>
      </c>
      <c r="S20" s="309">
        <f>SUMIF(开!$BA$8:$BA$213,B20,开!$BS$8:$BS$213)+SUMIF('续 '!AS$8:AS$198,B20,'续 '!$BQ$8:$BQ$198)+SUMIF(竣!AT$8:AT$130,B20,竣!$BQ$8:$BQ$130)</f>
        <v>0</v>
      </c>
      <c r="T20" s="299">
        <f>SUMIF(开!$BA$8:$BA$213,B20,开!$AC$8:$AC$213)+SUMIF('续 '!$AS$8:$AS$198,B20,'续 '!$U$8:$U$198)+SUMIF(竣!$AT$8:$AT$130,B20,竣!$U$8:$U$130)</f>
        <v>0</v>
      </c>
      <c r="U20" s="299">
        <f t="shared" si="2"/>
        <v>0</v>
      </c>
      <c r="V20" s="299">
        <f>SUMIF(开!$BA$8:$BA$213,B20,开!$AD$8:$AD$213)+SUMIF('续 '!$AS$8:$AS$198,B20,'续 '!$V$8:$V$198)+SUMIF(竣!$AT$8:$AT$130,B20,竣!$V$8:$V$130)</f>
        <v>0</v>
      </c>
      <c r="W20" s="299">
        <f>SUMIF(开!$BA$8:$BA$213,B20,开!$AE$8:$AE$213)+SUMIF('续 '!$AS$8:$AS$198,B20,'续 '!$W$8:$W$198)+SUMIF(竣!$AT$8:$AT$130,B20,竣!$W$8:$W$130)</f>
        <v>0</v>
      </c>
      <c r="X20" s="309">
        <f>SUMIF(开!$BA$8:$BA$213,B20,开!$BR$8:$BR$213)+SUMIF('续 '!AS$8:AS$198,B20,'续 '!$BP$8:$BP$198)+SUMIF(竣!AT$8:AT$130,B20,竣!$BP$8:$BP$130)</f>
        <v>0</v>
      </c>
      <c r="Y20" s="299">
        <f>SUMIF(开!$BA$8:$BA$213,B20,开!$AF$8:$AF$213)+SUMIF('续 '!$AS$8:$AS$198,B20,'续 '!$X$8:$X$198)+SUMIF(竣!$AT$8:$AT$130,B20,竣!$X$8:$X$130)</f>
        <v>0</v>
      </c>
      <c r="Z20" s="299">
        <f t="shared" si="3"/>
        <v>0</v>
      </c>
      <c r="AA20" s="299">
        <f>SUMIF(开!$BA$8:$BA$213,B20,开!$AG$8:$AG$213)+SUMIF('续 '!$AS$8:$AS$198,B20,'续 '!$Y$8:$Y$198)+SUMIF(竣!$AT$8:$AT$130,B20,竣!$Y$8:$Y$130)</f>
        <v>0</v>
      </c>
      <c r="AB20" s="299">
        <f>SUMIF(开!$BA$8:$BA$213,B20,开!$AH$8:$AH$213)+SUMIF('续 '!$AS$8:$AS$198,B20,'续 '!$Z$8:$Z$198)+SUMIF(竣!$AT$8:$AT$130,B20,竣!$Z$8:$Z$130)</f>
        <v>0</v>
      </c>
      <c r="AC20" s="299">
        <f>SUMIF(开!$BA$8:$BA$213,B20,开!$BT$8:$BT$213)+SUMIF('续 '!AS$8:AS$198,B20,'续 '!$BR$8:$BR$198)+SUMIF(竣!AT$8:AT$130,B20,竣!$BR$8:$BR$130)</f>
        <v>1</v>
      </c>
      <c r="AD20" s="299">
        <f>SUMIF(开!$BA$8:$BA$213,B20,开!$AI$8:$AI$213)+SUMIF('续 '!$AS$8:$AS$198,B20,'续 '!$AA$8:$AA$198)+SUMIF(竣!$AT$8:$AT$130,B20,竣!$AA$8:$AA$130)</f>
        <v>87</v>
      </c>
      <c r="AE20" s="299">
        <f t="shared" si="4"/>
        <v>51</v>
      </c>
      <c r="AF20" s="299">
        <f>SUMIF(开!$BA$8:$BA$213,B20,开!$AJ$8:$AJ$213)+SUMIF('续 '!$AS$8:$AS$198,B20,'续 '!$AB$8:$AB$198)+SUMIF(竣!$AT$8:$AT$130,B20,竣!$AB$8:$AB$130)</f>
        <v>51</v>
      </c>
      <c r="AG20" s="299">
        <f>SUMIF(开!$BA$8:$BA$213,B20,开!$AK$8:$AK$213)+SUMIF('续 '!$AS$8:$AS$198,B20,'续 '!$AC$8:$AC$198)+SUMIF(竣!$AT$8:$AT$130,B20,竣!$AC$8:$AC$130)</f>
        <v>36</v>
      </c>
      <c r="AH20" s="299">
        <f>(SUMIF(开!$BA$8:$BA$213,B20,开!$AL$8:$AL$213)+SUMIF('续 '!$AS$8:$AS$198,B20,'续 '!$AD$8:$AD$198)+SUMIF(竣!$AT$8:$AT$130,B20,竣!$AD$8:$AD$130))/10000</f>
        <v>0</v>
      </c>
      <c r="AI20" s="299">
        <f>SUMIF(开!$BA$8:$BA$213,B20,开!$BU$8:$BU$213)+SUMIF('续 '!AS$8:AS$198,B20,'续 '!$BS$8:$BS$198)+SUMIF(竣!AT$8:AT$130,B20,竣!$BS$8:$BS$130)</f>
        <v>0</v>
      </c>
      <c r="AJ20" s="299">
        <f t="shared" si="5"/>
        <v>0.3</v>
      </c>
      <c r="AK20" s="299">
        <f t="shared" si="6"/>
        <v>0.3</v>
      </c>
      <c r="AL20" s="299">
        <f>(SUMIF(开!$BA$8:$BA$213,B20,开!$AO$8:$AO$213)+SUMIF('续 '!$AS$8:$AS$198,B20,'续 '!$AF$8:$AF$198)+SUMIF(竣!$AT$8:$AT$130,B20,竣!$AG$8:$AG$130))/10000</f>
        <v>0</v>
      </c>
      <c r="AM20" s="299">
        <f>(SUMIF(开!$BA$8:$BA$213,B20,开!$AP$8:$AP$213)+SUMIF('续 '!$AS$8:$AS$198,B20,'续 '!$AH$8:$AH$198)+SUMIF(竣!$AT$8:$AT$130,B20,竣!$AH$8:$AH$130))/10000</f>
        <v>0</v>
      </c>
      <c r="AN20" s="312"/>
      <c r="AO20" s="315"/>
    </row>
    <row r="21" s="276" customFormat="1" ht="20.1" customHeight="1" spans="1:41">
      <c r="A21" s="300" t="s">
        <v>2864</v>
      </c>
      <c r="B21" s="290"/>
      <c r="C21" s="293">
        <f>SUM(C22:C25)</f>
        <v>5.9602</v>
      </c>
      <c r="D21" s="293"/>
      <c r="E21" s="293"/>
      <c r="F21" s="294">
        <f>SUM(F22:F25)</f>
        <v>2</v>
      </c>
      <c r="G21" s="294"/>
      <c r="H21" s="294"/>
      <c r="I21" s="294"/>
      <c r="J21" s="294">
        <f>SUM(J22:J25)</f>
        <v>5</v>
      </c>
      <c r="K21" s="294"/>
      <c r="L21" s="294"/>
      <c r="M21" s="294"/>
      <c r="N21" s="294">
        <f t="shared" ref="N21:AM21" si="10">SUM(N22:N25)</f>
        <v>7</v>
      </c>
      <c r="O21" s="294">
        <f t="shared" si="10"/>
        <v>3309.26</v>
      </c>
      <c r="P21" s="294">
        <f t="shared" si="10"/>
        <v>1780.26</v>
      </c>
      <c r="Q21" s="294">
        <f t="shared" si="10"/>
        <v>1780.07</v>
      </c>
      <c r="R21" s="294">
        <f t="shared" si="10"/>
        <v>1529</v>
      </c>
      <c r="S21" s="294">
        <f t="shared" si="10"/>
        <v>4</v>
      </c>
      <c r="T21" s="294">
        <f t="shared" si="10"/>
        <v>1639</v>
      </c>
      <c r="U21" s="294">
        <f t="shared" si="10"/>
        <v>400</v>
      </c>
      <c r="V21" s="294">
        <f t="shared" si="10"/>
        <v>400</v>
      </c>
      <c r="W21" s="294">
        <f t="shared" si="10"/>
        <v>1239</v>
      </c>
      <c r="X21" s="294">
        <f t="shared" si="10"/>
        <v>3</v>
      </c>
      <c r="Y21" s="294">
        <f t="shared" si="10"/>
        <v>2615</v>
      </c>
      <c r="Z21" s="294">
        <f t="shared" si="10"/>
        <v>1275</v>
      </c>
      <c r="AA21" s="294">
        <f t="shared" si="10"/>
        <v>1275</v>
      </c>
      <c r="AB21" s="294">
        <f t="shared" si="10"/>
        <v>1340</v>
      </c>
      <c r="AC21" s="294">
        <f t="shared" si="10"/>
        <v>4</v>
      </c>
      <c r="AD21" s="294">
        <f t="shared" si="10"/>
        <v>353</v>
      </c>
      <c r="AE21" s="294">
        <f t="shared" si="10"/>
        <v>262</v>
      </c>
      <c r="AF21" s="294">
        <f t="shared" si="10"/>
        <v>262</v>
      </c>
      <c r="AG21" s="294">
        <f t="shared" si="10"/>
        <v>91</v>
      </c>
      <c r="AH21" s="294">
        <f t="shared" si="10"/>
        <v>3.9786</v>
      </c>
      <c r="AI21" s="294">
        <f t="shared" si="10"/>
        <v>9</v>
      </c>
      <c r="AJ21" s="294">
        <f t="shared" si="10"/>
        <v>5.9602</v>
      </c>
      <c r="AK21" s="294">
        <f t="shared" si="10"/>
        <v>4.6084</v>
      </c>
      <c r="AL21" s="294">
        <f t="shared" si="10"/>
        <v>2.6268</v>
      </c>
      <c r="AM21" s="294">
        <f t="shared" si="10"/>
        <v>1.3518</v>
      </c>
      <c r="AN21" s="311"/>
      <c r="AO21" s="314"/>
    </row>
    <row r="22" s="277" customFormat="1" ht="20.1" customHeight="1" spans="1:41">
      <c r="A22" s="301" t="s">
        <v>2865</v>
      </c>
      <c r="B22" s="297" t="s">
        <v>722</v>
      </c>
      <c r="C22" s="298">
        <f>行业!F48/10000</f>
        <v>1.1815</v>
      </c>
      <c r="D22" s="298"/>
      <c r="E22" s="298"/>
      <c r="F22" s="299">
        <f>行业!J48</f>
        <v>0</v>
      </c>
      <c r="G22" s="299"/>
      <c r="H22" s="299"/>
      <c r="I22" s="299"/>
      <c r="J22" s="299">
        <f>行业!Z48</f>
        <v>2</v>
      </c>
      <c r="K22" s="299"/>
      <c r="L22" s="299"/>
      <c r="M22" s="299"/>
      <c r="N22" s="299">
        <f>SUMIF(开!$BA$8:$BA$213,B22,开!$BQ$8:$BQ$213)+SUMIF('续 '!$AS$8:$AS$198,B22,'续 '!$BO$8:$BO$198)+SUMIF(竣!$AT$8:$AT$130,B22,竣!$BO$8:$BO$130)</f>
        <v>2</v>
      </c>
      <c r="O22" s="299">
        <f>SUMIF(开!$BA$8:$BA$213,B22,开!$Z$8:$Z$213)+SUMIF('续 '!$AS$8:$AS$198,B22,'续 '!$R$8:$R$198)+SUMIF(竣!$AT$8:$AT$130,B22,竣!$R$8:$R$130)</f>
        <v>1500</v>
      </c>
      <c r="P22" s="299">
        <f t="shared" si="1"/>
        <v>854</v>
      </c>
      <c r="Q22" s="299">
        <f>SUMIF(开!$BA$8:$BA$213,B22,开!$AA$8:$AA$213)+SUMIF('续 '!$AS$8:$AS$198,B22,'续 '!$S$8:$S$198)+SUMIF(竣!$AT$8:$AT$130,B22,竣!$S$8:$S$130)</f>
        <v>854</v>
      </c>
      <c r="R22" s="299">
        <f>SUMIF(开!$BA$8:$BA$213,B22,开!$AB$8:$AB$213)+SUMIF('续 '!$AS$8:$AS$198,B22,'续 '!$T$8:$T$198)+SUMIF(竣!$AT$8:$AT$130,B22,竣!$T$8:$T$130)</f>
        <v>646</v>
      </c>
      <c r="S22" s="309">
        <f>SUMIF(开!$BA$8:$BA$213,B22,开!$BS$8:$BS$213)+SUMIF('续 '!AS$8:AS$198,B22,'续 '!$BQ$8:$BQ$198)+SUMIF(竣!AT$8:AT$130,B22,竣!$BQ$8:$BQ$130)</f>
        <v>1</v>
      </c>
      <c r="T22" s="299">
        <f>SUMIF(开!$BA$8:$BA$213,B22,开!$AC$8:$AC$213)+SUMIF('续 '!$AS$8:$AS$198,B22,'续 '!$U$8:$U$198)+SUMIF(竣!$AT$8:$AT$130,B22,竣!$U$8:$U$130)</f>
        <v>1000</v>
      </c>
      <c r="U22" s="299">
        <f t="shared" si="2"/>
        <v>300</v>
      </c>
      <c r="V22" s="299">
        <f>SUMIF(开!$BA$8:$BA$213,B22,开!$AD$8:$AD$213)+SUMIF('续 '!$AS$8:$AS$198,B22,'续 '!$V$8:$V$198)+SUMIF(竣!$AT$8:$AT$130,B22,竣!$V$8:$V$130)</f>
        <v>300</v>
      </c>
      <c r="W22" s="299">
        <f>SUMIF(开!$BA$8:$BA$213,B22,开!$AE$8:$AE$213)+SUMIF('续 '!$AS$8:$AS$198,B22,'续 '!$W$8:$W$198)+SUMIF(竣!$AT$8:$AT$130,B22,竣!$W$8:$W$130)</f>
        <v>700</v>
      </c>
      <c r="X22" s="309">
        <f>SUMIF(开!$BA$8:$BA$213,B22,开!$BR$8:$BR$213)+SUMIF('续 '!AS$8:AS$198,B22,'续 '!$BP$8:$BP$198)+SUMIF(竣!AT$8:AT$130,B22,竣!$BP$8:$BP$130)</f>
        <v>0</v>
      </c>
      <c r="Y22" s="299">
        <f>SUMIF(开!$BA$8:$BA$213,B22,开!$AF$8:$AF$213)+SUMIF('续 '!$AS$8:$AS$198,B22,'续 '!$X$8:$X$198)+SUMIF(竣!$AT$8:$AT$130,B22,竣!$X$8:$X$130)</f>
        <v>0</v>
      </c>
      <c r="Z22" s="299">
        <f t="shared" si="3"/>
        <v>0</v>
      </c>
      <c r="AA22" s="299">
        <f>SUMIF(开!$BA$8:$BA$213,B22,开!$AG$8:$AG$213)+SUMIF('续 '!$AS$8:$AS$198,B22,'续 '!$Y$8:$Y$198)+SUMIF(竣!$AT$8:$AT$130,B22,竣!$Y$8:$Y$130)</f>
        <v>0</v>
      </c>
      <c r="AB22" s="299">
        <f>SUMIF(开!$BA$8:$BA$213,B22,开!$AH$8:$AH$213)+SUMIF('续 '!$AS$8:$AS$198,B22,'续 '!$Z$8:$Z$198)+SUMIF(竣!$AT$8:$AT$130,B22,竣!$Z$8:$Z$130)</f>
        <v>0</v>
      </c>
      <c r="AC22" s="299">
        <f>SUMIF(开!$BA$8:$BA$213,B22,开!$BT$8:$BT$213)+SUMIF('续 '!AS$8:AS$198,B22,'续 '!$BR$8:$BR$198)+SUMIF(竣!AT$8:AT$130,B22,竣!$BR$8:$BR$130)</f>
        <v>1</v>
      </c>
      <c r="AD22" s="299">
        <f>SUMIF(开!$BA$8:$BA$213,B22,开!$AI$8:$AI$213)+SUMIF('续 '!$AS$8:$AS$198,B22,'续 '!$AA$8:$AA$198)+SUMIF(竣!$AT$8:$AT$130,B22,竣!$AA$8:$AA$130)</f>
        <v>3</v>
      </c>
      <c r="AE22" s="299">
        <f t="shared" si="4"/>
        <v>0</v>
      </c>
      <c r="AF22" s="299">
        <f>SUMIF(开!$BA$8:$BA$213,B22,开!$AJ$8:$AJ$213)+SUMIF('续 '!$AS$8:$AS$198,B22,'续 '!$AB$8:$AB$198)+SUMIF(竣!$AT$8:$AT$130,B22,竣!$AB$8:$AB$130)</f>
        <v>0</v>
      </c>
      <c r="AG22" s="299">
        <f>SUMIF(开!$BA$8:$BA$213,B22,开!$AK$8:$AK$213)+SUMIF('续 '!$AS$8:$AS$198,B22,'续 '!$AC$8:$AC$198)+SUMIF(竣!$AT$8:$AT$130,B22,竣!$AC$8:$AC$130)</f>
        <v>3</v>
      </c>
      <c r="AH22" s="299">
        <f>(SUMIF(开!$BA$8:$BA$213,B22,开!$AL$8:$AL$213)+SUMIF('续 '!$AS$8:$AS$198,B22,'续 '!$AD$8:$AD$198)+SUMIF(竣!$AT$8:$AT$130,B22,竣!$AD$8:$AD$130))/10000</f>
        <v>1.3284</v>
      </c>
      <c r="AI22" s="299">
        <f>SUMIF(开!$BA$8:$BA$213,B22,开!$BU$8:$BU$213)+SUMIF('续 '!AS$8:AS$198,B22,'续 '!$BS$8:$BS$198)+SUMIF(竣!AT$8:AT$130,B22,竣!$BS$8:$BS$130)</f>
        <v>3</v>
      </c>
      <c r="AJ22" s="299">
        <f t="shared" si="5"/>
        <v>1.1815</v>
      </c>
      <c r="AK22" s="299">
        <f t="shared" si="6"/>
        <v>1.1815</v>
      </c>
      <c r="AL22" s="299">
        <f>(SUMIF(开!$BA$8:$BA$213,B22,开!$AO$8:$AO$213)+SUMIF('续 '!$AS$8:$AS$198,B22,'续 '!$AF$8:$AF$198)+SUMIF(竣!$AT$8:$AT$130,B22,竣!$AG$8:$AG$130))/10000</f>
        <v>1.3284</v>
      </c>
      <c r="AM22" s="299">
        <f>(SUMIF(开!$BA$8:$BA$213,B22,开!$AP$8:$AP$213)+SUMIF('续 '!$AS$8:$AS$198,B22,'续 '!$AH$8:$AH$198)+SUMIF(竣!$AT$8:$AT$130,B22,竣!$AH$8:$AH$130))/10000</f>
        <v>0</v>
      </c>
      <c r="AN22" s="312"/>
      <c r="AO22" s="315"/>
    </row>
    <row r="23" s="277" customFormat="1" ht="20.1" customHeight="1" spans="1:41">
      <c r="A23" s="301" t="s">
        <v>2866</v>
      </c>
      <c r="B23" s="297" t="s">
        <v>2743</v>
      </c>
      <c r="C23" s="298">
        <f>行业!F50/10000</f>
        <v>0</v>
      </c>
      <c r="D23" s="298"/>
      <c r="E23" s="298"/>
      <c r="F23" s="299">
        <f>行业!J50</f>
        <v>0</v>
      </c>
      <c r="G23" s="299"/>
      <c r="H23" s="299"/>
      <c r="I23" s="299"/>
      <c r="J23" s="299">
        <f>行业!Z50</f>
        <v>0</v>
      </c>
      <c r="K23" s="299"/>
      <c r="L23" s="299"/>
      <c r="M23" s="299"/>
      <c r="N23" s="299">
        <f>SUMIF(开!$BA$8:$BA$213,B23,开!$BQ$8:$BQ$213)+SUMIF('续 '!$AS$8:$AS$198,B23,'续 '!$BO$8:$BO$198)+SUMIF(竣!$AT$8:$AT$130,B23,竣!$BO$8:$BO$130)</f>
        <v>0</v>
      </c>
      <c r="O23" s="299">
        <f>SUMIF(开!$BA$8:$BA$213,B23,开!$Z$8:$Z$213)+SUMIF('续 '!$AS$8:$AS$198,B23,'续 '!$R$8:$R$198)+SUMIF(竣!$AT$8:$AT$130,B23,竣!$R$8:$R$130)</f>
        <v>0</v>
      </c>
      <c r="P23" s="299">
        <f t="shared" si="1"/>
        <v>0</v>
      </c>
      <c r="Q23" s="299">
        <f>SUMIF(开!$BA$8:$BA$213,B23,开!$AA$8:$AA$213)+SUMIF('续 '!$AS$8:$AS$198,B23,'续 '!$S$8:$S$198)+SUMIF(竣!$AT$8:$AT$130,B23,竣!$S$8:$S$130)</f>
        <v>0</v>
      </c>
      <c r="R23" s="299">
        <f>SUMIF(开!$BA$8:$BA$213,B23,开!$AB$8:$AB$213)+SUMIF('续 '!$AS$8:$AS$198,B23,'续 '!$T$8:$T$198)+SUMIF(竣!$AT$8:$AT$130,B23,竣!$T$8:$T$130)</f>
        <v>0</v>
      </c>
      <c r="S23" s="309">
        <f>SUMIF(开!$BA$8:$BA$213,B23,开!$BS$8:$BS$213)+SUMIF('续 '!AS$8:AS$198,B23,'续 '!$BQ$8:$BQ$198)+SUMIF(竣!AT$8:AT$130,B23,竣!$BQ$8:$BQ$130)</f>
        <v>0</v>
      </c>
      <c r="T23" s="299">
        <f>SUMIF(开!$BA$8:$BA$213,B23,开!$AC$8:$AC$213)+SUMIF('续 '!$AS$8:$AS$198,B23,'续 '!$U$8:$U$198)+SUMIF(竣!$AT$8:$AT$130,B23,竣!$U$8:$U$130)</f>
        <v>0</v>
      </c>
      <c r="U23" s="299">
        <f t="shared" si="2"/>
        <v>0</v>
      </c>
      <c r="V23" s="299">
        <f>SUMIF(开!$BA$8:$BA$213,B23,开!$AD$8:$AD$213)+SUMIF('续 '!$AS$8:$AS$198,B23,'续 '!$V$8:$V$198)+SUMIF(竣!$AT$8:$AT$130,B23,竣!$V$8:$V$130)</f>
        <v>0</v>
      </c>
      <c r="W23" s="299">
        <f>SUMIF(开!$BA$8:$BA$213,B23,开!$AE$8:$AE$213)+SUMIF('续 '!$AS$8:$AS$198,B23,'续 '!$W$8:$W$198)+SUMIF(竣!$AT$8:$AT$130,B23,竣!$W$8:$W$130)</f>
        <v>0</v>
      </c>
      <c r="X23" s="309">
        <f>SUMIF(开!$BA$8:$BA$213,B23,开!$BR$8:$BR$213)+SUMIF('续 '!AS$8:AS$198,B23,'续 '!$BP$8:$BP$198)+SUMIF(竣!AT$8:AT$130,B23,竣!$BP$8:$BP$130)</f>
        <v>0</v>
      </c>
      <c r="Y23" s="299">
        <f>SUMIF(开!$BA$8:$BA$213,B23,开!$AF$8:$AF$213)+SUMIF('续 '!$AS$8:$AS$198,B23,'续 '!$X$8:$X$198)+SUMIF(竣!$AT$8:$AT$130,B23,竣!$X$8:$X$130)</f>
        <v>0</v>
      </c>
      <c r="Z23" s="299">
        <f t="shared" si="3"/>
        <v>0</v>
      </c>
      <c r="AA23" s="299">
        <f>SUMIF(开!$BA$8:$BA$213,B23,开!$AG$8:$AG$213)+SUMIF('续 '!$AS$8:$AS$198,B23,'续 '!$Y$8:$Y$198)+SUMIF(竣!$AT$8:$AT$130,B23,竣!$Y$8:$Y$130)</f>
        <v>0</v>
      </c>
      <c r="AB23" s="299">
        <f>SUMIF(开!$BA$8:$BA$213,B23,开!$AH$8:$AH$213)+SUMIF('续 '!$AS$8:$AS$198,B23,'续 '!$Z$8:$Z$198)+SUMIF(竣!$AT$8:$AT$130,B23,竣!$Z$8:$Z$130)</f>
        <v>0</v>
      </c>
      <c r="AC23" s="299">
        <f>SUMIF(开!$BA$8:$BA$213,B23,开!$BT$8:$BT$213)+SUMIF('续 '!AS$8:AS$198,B23,'续 '!$BR$8:$BR$198)+SUMIF(竣!AT$8:AT$130,B23,竣!$BR$8:$BR$130)</f>
        <v>0</v>
      </c>
      <c r="AD23" s="299">
        <f>SUMIF(开!$BA$8:$BA$213,B23,开!$AI$8:$AI$213)+SUMIF('续 '!$AS$8:$AS$198,B23,'续 '!$AA$8:$AA$198)+SUMIF(竣!$AT$8:$AT$130,B23,竣!$AA$8:$AA$130)</f>
        <v>0</v>
      </c>
      <c r="AE23" s="299">
        <f t="shared" si="4"/>
        <v>0</v>
      </c>
      <c r="AF23" s="299">
        <f>SUMIF(开!$BA$8:$BA$213,B23,开!$AJ$8:$AJ$213)+SUMIF('续 '!$AS$8:$AS$198,B23,'续 '!$AB$8:$AB$198)+SUMIF(竣!$AT$8:$AT$130,B23,竣!$AB$8:$AB$130)</f>
        <v>0</v>
      </c>
      <c r="AG23" s="299">
        <f>SUMIF(开!$BA$8:$BA$213,B23,开!$AK$8:$AK$213)+SUMIF('续 '!$AS$8:$AS$198,B23,'续 '!$AC$8:$AC$198)+SUMIF(竣!$AT$8:$AT$130,B23,竣!$AC$8:$AC$130)</f>
        <v>0</v>
      </c>
      <c r="AH23" s="299">
        <f>(SUMIF(开!$BA$8:$BA$213,B23,开!$AL$8:$AL$213)+SUMIF('续 '!$AS$8:$AS$198,B23,'续 '!$AD$8:$AD$198)+SUMIF(竣!$AT$8:$AT$130,B23,竣!$AD$8:$AD$130))/10000</f>
        <v>0</v>
      </c>
      <c r="AI23" s="299">
        <f>SUMIF(开!$BA$8:$BA$213,B23,开!$BU$8:$BU$213)+SUMIF('续 '!AS$8:AS$198,B23,'续 '!$BS$8:$BS$198)+SUMIF(竣!AT$8:AT$130,B23,竣!$BS$8:$BS$130)</f>
        <v>0</v>
      </c>
      <c r="AJ23" s="299">
        <f t="shared" si="5"/>
        <v>0</v>
      </c>
      <c r="AK23" s="299">
        <f t="shared" si="6"/>
        <v>0</v>
      </c>
      <c r="AL23" s="299">
        <f>(SUMIF(开!$BA$8:$BA$213,B23,开!$AO$8:$AO$213)+SUMIF('续 '!$AS$8:$AS$198,B23,'续 '!$AF$8:$AF$198)+SUMIF(竣!$AT$8:$AT$130,B23,竣!$AG$8:$AG$130))/10000</f>
        <v>0</v>
      </c>
      <c r="AM23" s="299">
        <f>(SUMIF(开!$BA$8:$BA$213,B23,开!$AP$8:$AP$213)+SUMIF('续 '!$AS$8:$AS$198,B23,'续 '!$AH$8:$AH$198)+SUMIF(竣!$AT$8:$AT$130,B23,竣!$AH$8:$AH$130))/10000</f>
        <v>0</v>
      </c>
      <c r="AN23" s="312"/>
      <c r="AO23" s="315"/>
    </row>
    <row r="24" s="277" customFormat="1" ht="20.1" customHeight="1" spans="1:41">
      <c r="A24" s="301" t="s">
        <v>2867</v>
      </c>
      <c r="B24" s="297" t="s">
        <v>2104</v>
      </c>
      <c r="C24" s="298">
        <f>行业!F51/10000</f>
        <v>4.2287</v>
      </c>
      <c r="D24" s="298"/>
      <c r="E24" s="298"/>
      <c r="F24" s="299">
        <f>行业!J51</f>
        <v>2</v>
      </c>
      <c r="G24" s="299"/>
      <c r="H24" s="299"/>
      <c r="I24" s="299"/>
      <c r="J24" s="299">
        <f>行业!Z51</f>
        <v>3</v>
      </c>
      <c r="K24" s="299"/>
      <c r="L24" s="299"/>
      <c r="M24" s="299"/>
      <c r="N24" s="299">
        <f>SUMIF(开!$BA$8:$BA$213,B24,开!$BQ$8:$BQ$213)+SUMIF('续 '!$AS$8:$AS$198,B24,'续 '!$BO$8:$BO$198)+SUMIF(竣!$AT$8:$AT$130,B24,竣!$BO$8:$BO$130)</f>
        <v>4</v>
      </c>
      <c r="O24" s="299">
        <f>SUMIF(开!$BA$8:$BA$213,B24,开!$Z$8:$Z$213)+SUMIF('续 '!$AS$8:$AS$198,B24,'续 '!$R$8:$R$198)+SUMIF(竣!$AT$8:$AT$130,B24,竣!$R$8:$R$130)</f>
        <v>1309.26</v>
      </c>
      <c r="P24" s="299">
        <f t="shared" si="1"/>
        <v>726.26</v>
      </c>
      <c r="Q24" s="299">
        <f>SUMIF(开!$BA$8:$BA$213,B24,开!$AA$8:$AA$213)+SUMIF('续 '!$AS$8:$AS$198,B24,'续 '!$S$8:$S$198)+SUMIF(竣!$AT$8:$AT$130,B24,竣!$S$8:$S$130)</f>
        <v>726.07</v>
      </c>
      <c r="R24" s="299">
        <f>SUMIF(开!$BA$8:$BA$213,B24,开!$AB$8:$AB$213)+SUMIF('续 '!$AS$8:$AS$198,B24,'续 '!$T$8:$T$198)+SUMIF(竣!$AT$8:$AT$130,B24,竣!$T$8:$T$130)</f>
        <v>583</v>
      </c>
      <c r="S24" s="309">
        <f>SUMIF(开!$BA$8:$BA$213,B24,开!$BS$8:$BS$213)+SUMIF('续 '!AS$8:AS$198,B24,'续 '!$BQ$8:$BQ$198)+SUMIF(竣!AT$8:AT$130,B24,竣!$BQ$8:$BQ$130)</f>
        <v>3</v>
      </c>
      <c r="T24" s="299">
        <f>SUMIF(开!$BA$8:$BA$213,B24,开!$AC$8:$AC$213)+SUMIF('续 '!$AS$8:$AS$198,B24,'续 '!$U$8:$U$198)+SUMIF(竣!$AT$8:$AT$130,B24,竣!$U$8:$U$130)</f>
        <v>639</v>
      </c>
      <c r="U24" s="299">
        <f t="shared" si="2"/>
        <v>100</v>
      </c>
      <c r="V24" s="299">
        <f>SUMIF(开!$BA$8:$BA$213,B24,开!$AD$8:$AD$213)+SUMIF('续 '!$AS$8:$AS$198,B24,'续 '!$V$8:$V$198)+SUMIF(竣!$AT$8:$AT$130,B24,竣!$V$8:$V$130)</f>
        <v>100</v>
      </c>
      <c r="W24" s="299">
        <f>SUMIF(开!$BA$8:$BA$213,B24,开!$AE$8:$AE$213)+SUMIF('续 '!$AS$8:$AS$198,B24,'续 '!$W$8:$W$198)+SUMIF(竣!$AT$8:$AT$130,B24,竣!$W$8:$W$130)</f>
        <v>539</v>
      </c>
      <c r="X24" s="309">
        <f>SUMIF(开!$BA$8:$BA$213,B24,开!$BR$8:$BR$213)+SUMIF('续 '!AS$8:AS$198,B24,'续 '!$BP$8:$BP$198)+SUMIF(竣!AT$8:AT$130,B24,竣!$BP$8:$BP$130)</f>
        <v>2</v>
      </c>
      <c r="Y24" s="299">
        <f>SUMIF(开!$BA$8:$BA$213,B24,开!$AF$8:$AF$213)+SUMIF('续 '!$AS$8:$AS$198,B24,'续 '!$X$8:$X$198)+SUMIF(竣!$AT$8:$AT$130,B24,竣!$X$8:$X$130)</f>
        <v>115</v>
      </c>
      <c r="Z24" s="299">
        <f t="shared" si="3"/>
        <v>75</v>
      </c>
      <c r="AA24" s="299">
        <f>SUMIF(开!$BA$8:$BA$213,B24,开!$AG$8:$AG$213)+SUMIF('续 '!$AS$8:$AS$198,B24,'续 '!$Y$8:$Y$198)+SUMIF(竣!$AT$8:$AT$130,B24,竣!$Y$8:$Y$130)</f>
        <v>75</v>
      </c>
      <c r="AB24" s="299">
        <f>SUMIF(开!$BA$8:$BA$213,B24,开!$AH$8:$AH$213)+SUMIF('续 '!$AS$8:$AS$198,B24,'续 '!$Z$8:$Z$198)+SUMIF(竣!$AT$8:$AT$130,B24,竣!$Z$8:$Z$130)</f>
        <v>40</v>
      </c>
      <c r="AC24" s="299">
        <f>SUMIF(开!$BA$8:$BA$213,B24,开!$BT$8:$BT$213)+SUMIF('续 '!AS$8:AS$198,B24,'续 '!$BR$8:$BR$198)+SUMIF(竣!AT$8:AT$130,B24,竣!$BR$8:$BR$130)</f>
        <v>3</v>
      </c>
      <c r="AD24" s="299">
        <f>SUMIF(开!$BA$8:$BA$213,B24,开!$AI$8:$AI$213)+SUMIF('续 '!$AS$8:$AS$198,B24,'续 '!$AA$8:$AA$198)+SUMIF(竣!$AT$8:$AT$130,B24,竣!$AA$8:$AA$130)</f>
        <v>350</v>
      </c>
      <c r="AE24" s="299">
        <f t="shared" si="4"/>
        <v>262</v>
      </c>
      <c r="AF24" s="299">
        <f>SUMIF(开!$BA$8:$BA$213,B24,开!$AJ$8:$AJ$213)+SUMIF('续 '!$AS$8:$AS$198,B24,'续 '!$AB$8:$AB$198)+SUMIF(竣!$AT$8:$AT$130,B24,竣!$AB$8:$AB$130)</f>
        <v>262</v>
      </c>
      <c r="AG24" s="299">
        <f>SUMIF(开!$BA$8:$BA$213,B24,开!$AK$8:$AK$213)+SUMIF('续 '!$AS$8:$AS$198,B24,'续 '!$AC$8:$AC$198)+SUMIF(竣!$AT$8:$AT$130,B24,竣!$AC$8:$AC$130)</f>
        <v>88</v>
      </c>
      <c r="AH24" s="299">
        <f>(SUMIF(开!$BA$8:$BA$213,B24,开!$AL$8:$AL$213)+SUMIF('续 '!$AS$8:$AS$198,B24,'续 '!$AD$8:$AD$198)+SUMIF(竣!$AT$8:$AT$130,B24,竣!$AD$8:$AD$130))/10000</f>
        <v>2.4502</v>
      </c>
      <c r="AI24" s="299">
        <f>SUMIF(开!$BA$8:$BA$213,B24,开!$BU$8:$BU$213)+SUMIF('续 '!AS$8:AS$198,B24,'续 '!$BS$8:$BS$198)+SUMIF(竣!AT$8:AT$130,B24,竣!$BS$8:$BS$130)</f>
        <v>5</v>
      </c>
      <c r="AJ24" s="299">
        <f t="shared" si="5"/>
        <v>4.2287</v>
      </c>
      <c r="AK24" s="299">
        <f t="shared" si="6"/>
        <v>3.0569</v>
      </c>
      <c r="AL24" s="299">
        <f>(SUMIF(开!$BA$8:$BA$213,B24,开!$AO$8:$AO$213)+SUMIF('续 '!$AS$8:$AS$198,B24,'续 '!$AF$8:$AF$198)+SUMIF(竣!$AT$8:$AT$130,B24,竣!$AG$8:$AG$130))/10000</f>
        <v>1.2784</v>
      </c>
      <c r="AM24" s="299">
        <f>(SUMIF(开!$BA$8:$BA$213,B24,开!$AP$8:$AP$213)+SUMIF('续 '!$AS$8:$AS$198,B24,'续 '!$AH$8:$AH$198)+SUMIF(竣!$AT$8:$AT$130,B24,竣!$AH$8:$AH$130))/10000</f>
        <v>1.1718</v>
      </c>
      <c r="AN24" s="312"/>
      <c r="AO24" s="315"/>
    </row>
    <row r="25" s="277" customFormat="1" ht="20.1" customHeight="1" spans="1:41">
      <c r="A25" s="301" t="s">
        <v>2868</v>
      </c>
      <c r="B25" s="297" t="s">
        <v>2477</v>
      </c>
      <c r="C25" s="298">
        <f>行业!F49/10000</f>
        <v>0.55</v>
      </c>
      <c r="D25" s="298"/>
      <c r="E25" s="298"/>
      <c r="F25" s="299">
        <f>行业!J49</f>
        <v>0</v>
      </c>
      <c r="G25" s="299"/>
      <c r="H25" s="299"/>
      <c r="I25" s="299"/>
      <c r="J25" s="299">
        <f>行业!Z49</f>
        <v>0</v>
      </c>
      <c r="K25" s="299"/>
      <c r="L25" s="299"/>
      <c r="M25" s="299"/>
      <c r="N25" s="299">
        <f>SUMIF(开!$BA$8:$BA$213,B25,开!$BQ$8:$BQ$213)+SUMIF('续 '!$AS$8:$AS$198,B25,'续 '!$BO$8:$BO$198)+SUMIF(竣!$AT$8:$AT$130,B25,竣!$BO$8:$BO$130)</f>
        <v>1</v>
      </c>
      <c r="O25" s="299">
        <f>SUMIF(开!$BA$8:$BA$213,B25,开!$Z$8:$Z$213)+SUMIF('续 '!$AS$8:$AS$198,B25,'续 '!$R$8:$R$198)+SUMIF(竣!$AT$8:$AT$130,B25,竣!$R$8:$R$130)</f>
        <v>500</v>
      </c>
      <c r="P25" s="299">
        <f t="shared" si="1"/>
        <v>200</v>
      </c>
      <c r="Q25" s="299">
        <f>SUMIF(开!$BA$8:$BA$213,B25,开!$AA$8:$AA$213)+SUMIF('续 '!$AS$8:$AS$198,B25,'续 '!$S$8:$S$198)+SUMIF(竣!$AT$8:$AT$130,B25,竣!$S$8:$S$130)</f>
        <v>200</v>
      </c>
      <c r="R25" s="299">
        <f>SUMIF(开!$BA$8:$BA$213,B25,开!$AB$8:$AB$213)+SUMIF('续 '!$AS$8:$AS$198,B25,'续 '!$T$8:$T$198)+SUMIF(竣!$AT$8:$AT$130,B25,竣!$T$8:$T$130)</f>
        <v>300</v>
      </c>
      <c r="S25" s="309">
        <f>SUMIF(开!$BA$8:$BA$213,B25,开!$BS$8:$BS$213)+SUMIF('续 '!AS$8:AS$198,B25,'续 '!$BQ$8:$BQ$198)+SUMIF(竣!AT$8:AT$130,B25,竣!$BQ$8:$BQ$130)</f>
        <v>0</v>
      </c>
      <c r="T25" s="299">
        <f>SUMIF(开!$BA$8:$BA$213,B25,开!$AC$8:$AC$213)+SUMIF('续 '!$AS$8:$AS$198,B25,'续 '!$U$8:$U$198)+SUMIF(竣!$AT$8:$AT$130,B25,竣!$U$8:$U$130)</f>
        <v>0</v>
      </c>
      <c r="U25" s="299">
        <f t="shared" si="2"/>
        <v>0</v>
      </c>
      <c r="V25" s="299">
        <f>SUMIF(开!$BA$8:$BA$213,B25,开!$AD$8:$AD$213)+SUMIF('续 '!$AS$8:$AS$198,B25,'续 '!$V$8:$V$198)+SUMIF(竣!$AT$8:$AT$130,B25,竣!$V$8:$V$130)</f>
        <v>0</v>
      </c>
      <c r="W25" s="299">
        <f>SUMIF(开!$BA$8:$BA$213,B25,开!$AE$8:$AE$213)+SUMIF('续 '!$AS$8:$AS$198,B25,'续 '!$W$8:$W$198)+SUMIF(竣!$AT$8:$AT$130,B25,竣!$W$8:$W$130)</f>
        <v>0</v>
      </c>
      <c r="X25" s="309">
        <f>SUMIF(开!$BA$8:$BA$213,B25,开!$BR$8:$BR$213)+SUMIF('续 '!AS$8:AS$198,B25,'续 '!$BP$8:$BP$198)+SUMIF(竣!AT$8:AT$130,B25,竣!$BP$8:$BP$130)</f>
        <v>1</v>
      </c>
      <c r="Y25" s="299">
        <f>SUMIF(开!$BA$8:$BA$213,B25,开!$AF$8:$AF$213)+SUMIF('续 '!$AS$8:$AS$198,B25,'续 '!$X$8:$X$198)+SUMIF(竣!$AT$8:$AT$130,B25,竣!$X$8:$X$130)</f>
        <v>2500</v>
      </c>
      <c r="Z25" s="299">
        <f t="shared" si="3"/>
        <v>1200</v>
      </c>
      <c r="AA25" s="299">
        <f>SUMIF(开!$BA$8:$BA$213,B25,开!$AG$8:$AG$213)+SUMIF('续 '!$AS$8:$AS$198,B25,'续 '!$Y$8:$Y$198)+SUMIF(竣!$AT$8:$AT$130,B25,竣!$Y$8:$Y$130)</f>
        <v>1200</v>
      </c>
      <c r="AB25" s="299">
        <f>SUMIF(开!$BA$8:$BA$213,B25,开!$AH$8:$AH$213)+SUMIF('续 '!$AS$8:$AS$198,B25,'续 '!$Z$8:$Z$198)+SUMIF(竣!$AT$8:$AT$130,B25,竣!$Z$8:$Z$130)</f>
        <v>1300</v>
      </c>
      <c r="AC25" s="299">
        <f>SUMIF(开!$BA$8:$BA$213,B25,开!$BT$8:$BT$213)+SUMIF('续 '!AS$8:AS$198,B25,'续 '!$BR$8:$BR$198)+SUMIF(竣!AT$8:AT$130,B25,竣!$BR$8:$BR$130)</f>
        <v>0</v>
      </c>
      <c r="AD25" s="299">
        <f>SUMIF(开!$BA$8:$BA$213,B25,开!$AI$8:$AI$213)+SUMIF('续 '!$AS$8:$AS$198,B25,'续 '!$AA$8:$AA$198)+SUMIF(竣!$AT$8:$AT$130,B25,竣!$AA$8:$AA$130)</f>
        <v>0</v>
      </c>
      <c r="AE25" s="299">
        <f t="shared" si="4"/>
        <v>0</v>
      </c>
      <c r="AF25" s="299">
        <f>SUMIF(开!$BA$8:$BA$213,B25,开!$AJ$8:$AJ$213)+SUMIF('续 '!$AS$8:$AS$198,B25,'续 '!$AB$8:$AB$198)+SUMIF(竣!$AT$8:$AT$130,B25,竣!$AB$8:$AB$130)</f>
        <v>0</v>
      </c>
      <c r="AG25" s="299">
        <f>SUMIF(开!$BA$8:$BA$213,B25,开!$AK$8:$AK$213)+SUMIF('续 '!$AS$8:$AS$198,B25,'续 '!$AC$8:$AC$198)+SUMIF(竣!$AT$8:$AT$130,B25,竣!$AC$8:$AC$130)</f>
        <v>0</v>
      </c>
      <c r="AH25" s="299">
        <f>(SUMIF(开!$BA$8:$BA$213,B25,开!$AL$8:$AL$213)+SUMIF('续 '!$AS$8:$AS$198,B25,'续 '!$AD$8:$AD$198)+SUMIF(竣!$AT$8:$AT$130,B25,竣!$AD$8:$AD$130))/10000</f>
        <v>0.2</v>
      </c>
      <c r="AI25" s="299">
        <f>SUMIF(开!$BA$8:$BA$213,B25,开!$BU$8:$BU$213)+SUMIF('续 '!AS$8:AS$198,B25,'续 '!$BS$8:$BS$198)+SUMIF(竣!AT$8:AT$130,B25,竣!$BS$8:$BS$130)</f>
        <v>1</v>
      </c>
      <c r="AJ25" s="299">
        <f t="shared" si="5"/>
        <v>0.55</v>
      </c>
      <c r="AK25" s="299">
        <f t="shared" si="6"/>
        <v>0.37</v>
      </c>
      <c r="AL25" s="299">
        <f>(SUMIF(开!$BA$8:$BA$213,B25,开!$AO$8:$AO$213)+SUMIF('续 '!$AS$8:$AS$198,B25,'续 '!$AF$8:$AF$198)+SUMIF(竣!$AT$8:$AT$130,B25,竣!$AG$8:$AG$130))/10000</f>
        <v>0.02</v>
      </c>
      <c r="AM25" s="299">
        <f>(SUMIF(开!$BA$8:$BA$213,B25,开!$AP$8:$AP$213)+SUMIF('续 '!$AS$8:$AS$198,B25,'续 '!$AH$8:$AH$198)+SUMIF(竣!$AT$8:$AT$130,B25,竣!$AH$8:$AH$130))/10000</f>
        <v>0.18</v>
      </c>
      <c r="AN25" s="312"/>
      <c r="AO25" s="315"/>
    </row>
    <row r="26" s="276" customFormat="1" ht="20.1" customHeight="1" spans="1:41">
      <c r="A26" s="300" t="s">
        <v>2869</v>
      </c>
      <c r="B26" s="297" t="s">
        <v>2051</v>
      </c>
      <c r="C26" s="293">
        <f>(行业!F54+行业!F55+行业!F60+行业!F61)/10000</f>
        <v>17.0051</v>
      </c>
      <c r="D26" s="293"/>
      <c r="E26" s="293"/>
      <c r="F26" s="294">
        <f>行业!J54+行业!J55+行业!J60+行业!J61</f>
        <v>22</v>
      </c>
      <c r="G26" s="294"/>
      <c r="H26" s="294"/>
      <c r="I26" s="294"/>
      <c r="J26" s="294">
        <f>行业!Z54+行业!Z55+行业!Z60+行业!Z61</f>
        <v>3</v>
      </c>
      <c r="K26" s="294"/>
      <c r="L26" s="294"/>
      <c r="M26" s="294"/>
      <c r="N26" s="294">
        <f>SUMIF(开!$BA$8:$BA$213,B26,开!$BQ$8:$BQ$213)+SUMIF('续 '!$AS$8:$AS$198,B26,'续 '!$BO$8:$BO$198)+SUMIF(竣!$AT$8:$AT$130,B26,竣!$BO$8:$BO$130)</f>
        <v>20</v>
      </c>
      <c r="O26" s="294">
        <f>SUMIF(开!$BA$8:$BA$213,B26,开!$Z$8:$Z$213)+SUMIF('续 '!$AS$8:$AS$198,B26,'续 '!$R$8:$R$198)+SUMIF(竣!$AT$8:$AT$130,B26,竣!$R$8:$R$130)</f>
        <v>4574.02</v>
      </c>
      <c r="P26" s="294">
        <f t="shared" si="1"/>
        <v>1682.02</v>
      </c>
      <c r="Q26" s="294">
        <f>SUMIF(开!$BA$8:$BA$213,B26,开!$AA$8:$AA$213)+SUMIF('续 '!$AS$8:$AS$198,B26,'续 '!$S$8:$S$198)+SUMIF(竣!$AT$8:$AT$130,B26,竣!$S$8:$S$130)</f>
        <v>1682.02</v>
      </c>
      <c r="R26" s="294">
        <f>SUMIF(开!$BA$8:$BA$213,B26,开!$AB$8:$AB$213)+SUMIF('续 '!$AS$8:$AS$198,B26,'续 '!$T$8:$T$198)+SUMIF(竣!$AT$8:$AT$130,B26,竣!$T$8:$T$130)</f>
        <v>2892</v>
      </c>
      <c r="S26" s="308">
        <f>SUMIF(开!$BA$8:$BA$213,B26,开!$BS$8:$BS$213)+SUMIF('续 '!AS$8:AS$198,B26,'续 '!$BQ$8:$BQ$198)+SUMIF(竣!AT$8:AT$130,B26,竣!$BQ$8:$BQ$130)</f>
        <v>3</v>
      </c>
      <c r="T26" s="294">
        <f>SUMIF(开!$BA$8:$BA$213,B26,开!$AC$8:$AC$213)+SUMIF('续 '!$AS$8:$AS$198,B26,'续 '!$U$8:$U$198)+SUMIF(竣!$AT$8:$AT$130,B26,竣!$U$8:$U$130)</f>
        <v>381</v>
      </c>
      <c r="U26" s="294">
        <f t="shared" si="2"/>
        <v>280</v>
      </c>
      <c r="V26" s="294">
        <f>SUMIF(开!$BA$8:$BA$213,B26,开!$AD$8:$AD$213)+SUMIF('续 '!$AS$8:$AS$198,B26,'续 '!$V$8:$V$198)+SUMIF(竣!$AT$8:$AT$130,B26,竣!$V$8:$V$130)</f>
        <v>280</v>
      </c>
      <c r="W26" s="294">
        <f>SUMIF(开!$BA$8:$BA$213,B26,开!$AE$8:$AE$213)+SUMIF('续 '!$AS$8:$AS$198,B26,'续 '!$W$8:$W$198)+SUMIF(竣!$AT$8:$AT$130,B26,竣!$W$8:$W$130)</f>
        <v>101</v>
      </c>
      <c r="X26" s="308">
        <f>SUMIF(开!$BA$8:$BA$213,B26,开!$BR$8:$BR$213)+SUMIF('续 '!AS$8:AS$198,B26,'续 '!$BP$8:$BP$198)+SUMIF(竣!AT$8:AT$130,B26,竣!$BP$8:$BP$130)</f>
        <v>0</v>
      </c>
      <c r="Y26" s="294">
        <f>SUMIF(开!$BA$8:$BA$213,B26,开!$AF$8:$AF$213)+SUMIF('续 '!$AS$8:$AS$198,B26,'续 '!$X$8:$X$198)+SUMIF(竣!$AT$8:$AT$130,B26,竣!$X$8:$X$130)</f>
        <v>0</v>
      </c>
      <c r="Z26" s="294">
        <f t="shared" si="3"/>
        <v>0</v>
      </c>
      <c r="AA26" s="294">
        <f>SUMIF(开!$BA$8:$BA$213,B26,开!$AG$8:$AG$213)+SUMIF('续 '!$AS$8:$AS$198,B26,'续 '!$Y$8:$Y$198)+SUMIF(竣!$AT$8:$AT$130,B26,竣!$Y$8:$Y$130)</f>
        <v>0</v>
      </c>
      <c r="AB26" s="294">
        <f>SUMIF(开!$BA$8:$BA$213,B26,开!$AH$8:$AH$213)+SUMIF('续 '!$AS$8:$AS$198,B26,'续 '!$Z$8:$Z$198)+SUMIF(竣!$AT$8:$AT$130,B26,竣!$Z$8:$Z$130)</f>
        <v>0</v>
      </c>
      <c r="AC26" s="294">
        <f>SUMIF(开!$BA$8:$BA$213,B26,开!$BT$8:$BT$213)+SUMIF('续 '!AS$8:AS$198,B26,'续 '!$BR$8:$BR$198)+SUMIF(竣!AT$8:AT$130,B26,竣!$BR$8:$BR$130)</f>
        <v>10</v>
      </c>
      <c r="AD26" s="294">
        <f>SUMIF(开!$BA$8:$BA$213,B26,开!$AI$8:$AI$213)+SUMIF('续 '!$AS$8:$AS$198,B26,'续 '!$AA$8:$AA$198)+SUMIF(竣!$AT$8:$AT$130,B26,竣!$AA$8:$AA$130)</f>
        <v>1825</v>
      </c>
      <c r="AE26" s="294">
        <f t="shared" si="4"/>
        <v>390</v>
      </c>
      <c r="AF26" s="294">
        <f>SUMIF(开!$BA$8:$BA$213,B26,开!$AJ$8:$AJ$213)+SUMIF('续 '!$AS$8:$AS$198,B26,'续 '!$AB$8:$AB$198)+SUMIF(竣!$AT$8:$AT$130,B26,竣!$AB$8:$AB$130)</f>
        <v>390</v>
      </c>
      <c r="AG26" s="294">
        <f>SUMIF(开!$BA$8:$BA$213,B26,开!$AK$8:$AK$213)+SUMIF('续 '!$AS$8:$AS$198,B26,'续 '!$AC$8:$AC$198)+SUMIF(竣!$AT$8:$AT$130,B26,竣!$AC$8:$AC$130)</f>
        <v>1435</v>
      </c>
      <c r="AH26" s="294">
        <f>(SUMIF(开!$BA$8:$BA$213,B26,开!$AL$8:$AL$213)+SUMIF('续 '!$AS$8:$AS$198,B26,'续 '!$AD$8:$AD$198)+SUMIF(竣!$AT$8:$AT$130,B26,竣!$AD$8:$AD$130))/10000</f>
        <v>4.8901</v>
      </c>
      <c r="AI26" s="294">
        <f>SUMIF(开!$BA$8:$BA$213,B26,开!$BU$8:$BU$213)+SUMIF('续 '!AS$8:AS$198,B26,'续 '!$BS$8:$BS$198)+SUMIF(竣!AT$8:AT$130,B26,竣!$BS$8:$BS$130)</f>
        <v>12</v>
      </c>
      <c r="AJ26" s="294">
        <f t="shared" si="5"/>
        <v>17.0051</v>
      </c>
      <c r="AK26" s="294">
        <f t="shared" si="6"/>
        <v>12.523</v>
      </c>
      <c r="AL26" s="294">
        <f>(SUMIF(开!$BA$8:$BA$213,B26,开!$AO$8:$AO$213)+SUMIF('续 '!$AS$8:$AS$198,B26,'续 '!$AF$8:$AF$198)+SUMIF(竣!$AT$8:$AT$130,B26,竣!$AG$8:$AG$130))/10000</f>
        <v>0.668</v>
      </c>
      <c r="AM26" s="294">
        <f>(SUMIF(开!$BA$8:$BA$213,B26,开!$AP$8:$AP$213)+SUMIF('续 '!$AS$8:$AS$198,B26,'续 '!$AH$8:$AH$198)+SUMIF(竣!$AT$8:$AT$130,B26,竣!$AH$8:$AH$130))/10000</f>
        <v>4.4821</v>
      </c>
      <c r="AN26" s="311"/>
      <c r="AO26" s="314"/>
    </row>
    <row r="28" spans="14:39">
      <c r="N28" s="305">
        <f>N8+N12</f>
        <v>100</v>
      </c>
      <c r="O28" s="305">
        <f t="shared" ref="O28:AM28" si="11">O8+O12</f>
        <v>54779.5089</v>
      </c>
      <c r="P28" s="305">
        <f t="shared" si="11"/>
        <v>16506.1437</v>
      </c>
      <c r="Q28" s="305">
        <f t="shared" si="11"/>
        <v>16741.4892</v>
      </c>
      <c r="R28" s="305">
        <f t="shared" si="11"/>
        <v>38273.3652</v>
      </c>
      <c r="S28" s="305">
        <f t="shared" si="11"/>
        <v>51</v>
      </c>
      <c r="T28" s="305">
        <f t="shared" si="11"/>
        <v>22313.9685</v>
      </c>
      <c r="U28" s="305">
        <f t="shared" si="11"/>
        <v>13908.6685</v>
      </c>
      <c r="V28" s="305">
        <f t="shared" si="11"/>
        <v>13770.5905</v>
      </c>
      <c r="W28" s="305">
        <f t="shared" si="11"/>
        <v>8405.3</v>
      </c>
      <c r="X28" s="305">
        <f t="shared" si="11"/>
        <v>7</v>
      </c>
      <c r="Y28" s="305">
        <f t="shared" si="11"/>
        <v>2863.0545</v>
      </c>
      <c r="Z28" s="305">
        <f t="shared" si="11"/>
        <v>2429.2545</v>
      </c>
      <c r="AA28" s="305">
        <f t="shared" si="11"/>
        <v>2429.2545</v>
      </c>
      <c r="AB28" s="305">
        <f t="shared" si="11"/>
        <v>433.8</v>
      </c>
      <c r="AC28" s="305">
        <f t="shared" si="11"/>
        <v>74</v>
      </c>
      <c r="AD28" s="305">
        <f t="shared" si="11"/>
        <v>37527.4657</v>
      </c>
      <c r="AE28" s="305">
        <f t="shared" si="11"/>
        <v>21553.0517</v>
      </c>
      <c r="AF28" s="305">
        <f t="shared" si="11"/>
        <v>21553.1017</v>
      </c>
      <c r="AG28" s="305">
        <f t="shared" si="11"/>
        <v>15974.414</v>
      </c>
      <c r="AH28" s="305">
        <f t="shared" si="11"/>
        <v>66.9459</v>
      </c>
      <c r="AI28" s="305">
        <f t="shared" si="11"/>
        <v>100</v>
      </c>
      <c r="AJ28" s="305">
        <f t="shared" si="11"/>
        <v>131.9298886</v>
      </c>
      <c r="AK28" s="305">
        <f t="shared" si="11"/>
        <v>88.7561886</v>
      </c>
      <c r="AL28" s="305">
        <f t="shared" si="11"/>
        <v>23.0976</v>
      </c>
      <c r="AM28" s="305">
        <f t="shared" si="11"/>
        <v>43.1737</v>
      </c>
    </row>
  </sheetData>
  <mergeCells count="16">
    <mergeCell ref="A1:AO1"/>
    <mergeCell ref="AN2:AO2"/>
    <mergeCell ref="C3:AM3"/>
    <mergeCell ref="AN3:AO3"/>
    <mergeCell ref="C4:E4"/>
    <mergeCell ref="F4:I4"/>
    <mergeCell ref="J4:M4"/>
    <mergeCell ref="N4:R4"/>
    <mergeCell ref="S4:W4"/>
    <mergeCell ref="X4:AB4"/>
    <mergeCell ref="AC4:AG4"/>
    <mergeCell ref="AH4:AM4"/>
    <mergeCell ref="A3:A5"/>
    <mergeCell ref="B3:B5"/>
    <mergeCell ref="AN4:AN5"/>
    <mergeCell ref="AO4:AO5"/>
  </mergeCells>
  <pageMargins left="0.698611111111111" right="0.698611111111111" top="0.75" bottom="0.75" header="0.3" footer="0.3"/>
  <pageSetup paperSize="8" scale="68" firstPageNumber="4294963191" fitToHeight="0" orientation="landscape" useFirstPageNumber="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K121"/>
  <sheetViews>
    <sheetView zoomScale="70" zoomScaleNormal="70" topLeftCell="A112" workbookViewId="0">
      <selection activeCell="Q35" sqref="Q35"/>
    </sheetView>
  </sheetViews>
  <sheetFormatPr defaultColWidth="9.14285714285714" defaultRowHeight="12"/>
  <cols>
    <col min="1" max="1" width="9.42857142857143" customWidth="1"/>
    <col min="2" max="2" width="19.4285714285714" customWidth="1"/>
    <col min="4" max="4" width="35.5714285714286" customWidth="1"/>
    <col min="6" max="6" width="11" customWidth="1"/>
    <col min="7" max="7" width="12" customWidth="1"/>
    <col min="8" max="8" width="15.1428571428571" customWidth="1"/>
    <col min="9" max="10" width="9.14285714285714" hidden="1" customWidth="1"/>
    <col min="11" max="11" width="20.5714285714286" customWidth="1"/>
    <col min="12" max="12" width="19.4285714285714" customWidth="1"/>
    <col min="13" max="14" width="9.14285714285714" hidden="1" customWidth="1"/>
    <col min="18" max="18" width="15.2857142857143" customWidth="1"/>
    <col min="36" max="36" width="9.42857142857143" customWidth="1"/>
    <col min="39" max="39" width="9.42857142857143" customWidth="1"/>
  </cols>
  <sheetData>
    <row r="1" s="1" customFormat="1" ht="55.9" customHeight="1" spans="1:47">
      <c r="A1" s="11" t="s">
        <v>2870</v>
      </c>
      <c r="B1" s="11"/>
      <c r="C1" s="12"/>
      <c r="D1" s="11"/>
      <c r="E1" s="11"/>
      <c r="F1" s="11"/>
      <c r="G1" s="11"/>
      <c r="H1" s="11"/>
      <c r="I1" s="11"/>
      <c r="J1" s="11"/>
      <c r="K1" s="12"/>
      <c r="L1" s="12"/>
      <c r="M1" s="12"/>
      <c r="N1" s="12"/>
      <c r="O1" s="11"/>
      <c r="P1" s="11"/>
      <c r="Q1" s="11"/>
      <c r="R1" s="12"/>
      <c r="S1" s="138"/>
      <c r="T1" s="139"/>
      <c r="U1" s="140"/>
      <c r="V1" s="140"/>
      <c r="W1" s="141"/>
      <c r="X1" s="142"/>
      <c r="Y1" s="173"/>
      <c r="Z1" s="142"/>
      <c r="AA1" s="142"/>
      <c r="AB1" s="142"/>
      <c r="AC1" s="142"/>
      <c r="AE1" s="173"/>
      <c r="AF1" s="173"/>
      <c r="AG1" s="173"/>
      <c r="AH1" s="142"/>
      <c r="AI1" s="142"/>
      <c r="AJ1" s="184"/>
      <c r="AK1" s="173"/>
      <c r="AL1" s="173"/>
      <c r="AM1" s="173"/>
      <c r="AO1" s="207"/>
      <c r="AQ1" s="208"/>
      <c r="AR1" s="209"/>
      <c r="AS1" s="210"/>
      <c r="AT1" s="208"/>
      <c r="AU1" s="208"/>
    </row>
    <row r="2" s="2" customFormat="1" ht="20.65" customHeight="1" spans="1:47">
      <c r="A2" s="13"/>
      <c r="B2" s="14"/>
      <c r="C2" s="15"/>
      <c r="D2" s="16"/>
      <c r="E2" s="15"/>
      <c r="F2" s="17"/>
      <c r="G2" s="18"/>
      <c r="H2" s="18"/>
      <c r="I2" s="94" t="s">
        <v>2</v>
      </c>
      <c r="J2" s="95" t="s">
        <v>2</v>
      </c>
      <c r="K2" s="96"/>
      <c r="L2" s="96"/>
      <c r="M2" s="95" t="s">
        <v>2</v>
      </c>
      <c r="N2" s="95" t="s">
        <v>2</v>
      </c>
      <c r="O2" s="97" t="s">
        <v>3</v>
      </c>
      <c r="P2" s="97"/>
      <c r="Q2" s="143"/>
      <c r="R2" s="144"/>
      <c r="S2" s="144"/>
      <c r="T2" s="144" t="s">
        <v>4</v>
      </c>
      <c r="U2" s="144" t="s">
        <v>4</v>
      </c>
      <c r="V2" s="144" t="s">
        <v>4</v>
      </c>
      <c r="W2" s="144" t="s">
        <v>4</v>
      </c>
      <c r="X2" s="144" t="s">
        <v>4</v>
      </c>
      <c r="Y2" s="144" t="s">
        <v>4</v>
      </c>
      <c r="Z2" s="144" t="s">
        <v>4</v>
      </c>
      <c r="AA2" s="144" t="s">
        <v>4</v>
      </c>
      <c r="AB2" s="144" t="s">
        <v>4</v>
      </c>
      <c r="AC2" s="144" t="s">
        <v>4</v>
      </c>
      <c r="AD2" s="144" t="s">
        <v>4</v>
      </c>
      <c r="AE2" s="144"/>
      <c r="AF2" s="144"/>
      <c r="AG2" s="144"/>
      <c r="AH2" s="15"/>
      <c r="AI2" s="15"/>
      <c r="AJ2" s="185"/>
      <c r="AK2" s="144"/>
      <c r="AL2" s="144"/>
      <c r="AM2" s="144"/>
      <c r="AN2" s="144"/>
      <c r="AO2" s="211"/>
      <c r="AQ2" s="211"/>
      <c r="AR2" s="212"/>
      <c r="AS2" s="213"/>
      <c r="AT2" s="211"/>
      <c r="AU2" s="211"/>
    </row>
    <row r="3" s="3" customFormat="1" ht="40.15" customHeight="1" spans="1:47">
      <c r="A3" s="19" t="s">
        <v>1695</v>
      </c>
      <c r="B3" s="19" t="s">
        <v>1696</v>
      </c>
      <c r="C3" s="19" t="s">
        <v>1697</v>
      </c>
      <c r="D3" s="19" t="s">
        <v>1698</v>
      </c>
      <c r="E3" s="20" t="s">
        <v>1699</v>
      </c>
      <c r="F3" s="21" t="s">
        <v>1700</v>
      </c>
      <c r="G3" s="22" t="s">
        <v>1702</v>
      </c>
      <c r="H3" s="22"/>
      <c r="I3" s="98" t="s">
        <v>13</v>
      </c>
      <c r="J3" s="98"/>
      <c r="K3" s="99" t="s">
        <v>15</v>
      </c>
      <c r="L3" s="99" t="s">
        <v>16</v>
      </c>
      <c r="M3" s="100" t="s">
        <v>22</v>
      </c>
      <c r="N3" s="100" t="s">
        <v>2871</v>
      </c>
      <c r="O3" s="101" t="s">
        <v>1703</v>
      </c>
      <c r="P3" s="101" t="s">
        <v>1873</v>
      </c>
      <c r="Q3" s="101" t="s">
        <v>1704</v>
      </c>
      <c r="R3" s="145" t="s">
        <v>26</v>
      </c>
      <c r="S3" s="101" t="s">
        <v>27</v>
      </c>
      <c r="T3" s="101" t="s">
        <v>28</v>
      </c>
      <c r="U3" s="101" t="s">
        <v>29</v>
      </c>
      <c r="V3" s="101" t="s">
        <v>30</v>
      </c>
      <c r="W3" s="146" t="s">
        <v>32</v>
      </c>
      <c r="X3" s="147" t="s">
        <v>33</v>
      </c>
      <c r="Y3" s="25" t="s">
        <v>34</v>
      </c>
      <c r="Z3" s="174" t="s">
        <v>35</v>
      </c>
      <c r="AA3" s="175" t="s">
        <v>35</v>
      </c>
      <c r="AB3" s="176"/>
      <c r="AC3" s="177"/>
      <c r="AD3" s="45" t="s">
        <v>36</v>
      </c>
      <c r="AE3" s="25"/>
      <c r="AF3" s="25" t="s">
        <v>38</v>
      </c>
      <c r="AG3" s="25" t="s">
        <v>39</v>
      </c>
      <c r="AH3" s="186" t="s">
        <v>40</v>
      </c>
      <c r="AI3" s="187" t="s">
        <v>41</v>
      </c>
      <c r="AJ3" s="188" t="s">
        <v>42</v>
      </c>
      <c r="AK3" s="25"/>
      <c r="AL3" s="25"/>
      <c r="AM3" s="25"/>
      <c r="AN3" s="189"/>
      <c r="AO3" s="186"/>
      <c r="AP3" s="214" t="s">
        <v>1880</v>
      </c>
      <c r="AQ3" s="15"/>
      <c r="AR3" s="215"/>
      <c r="AS3" s="216"/>
      <c r="AT3" s="15"/>
      <c r="AU3" s="15"/>
    </row>
    <row r="4" s="3" customFormat="1" ht="40.15" customHeight="1" spans="1:47">
      <c r="A4" s="19"/>
      <c r="B4" s="19"/>
      <c r="C4" s="19"/>
      <c r="D4" s="19"/>
      <c r="E4" s="20"/>
      <c r="F4" s="21"/>
      <c r="G4" s="22" t="s">
        <v>1883</v>
      </c>
      <c r="H4" s="22" t="s">
        <v>2566</v>
      </c>
      <c r="I4" s="102" t="s">
        <v>50</v>
      </c>
      <c r="J4" s="98" t="s">
        <v>51</v>
      </c>
      <c r="K4" s="99"/>
      <c r="L4" s="99"/>
      <c r="M4" s="100"/>
      <c r="N4" s="100"/>
      <c r="O4" s="101"/>
      <c r="P4" s="101"/>
      <c r="Q4" s="101"/>
      <c r="R4" s="145"/>
      <c r="S4" s="101"/>
      <c r="T4" s="101"/>
      <c r="U4" s="101"/>
      <c r="V4" s="101"/>
      <c r="W4" s="146"/>
      <c r="X4" s="147"/>
      <c r="Y4" s="25"/>
      <c r="Z4" s="178"/>
      <c r="AA4" s="25" t="s">
        <v>74</v>
      </c>
      <c r="AB4" s="25" t="s">
        <v>75</v>
      </c>
      <c r="AC4" s="25"/>
      <c r="AD4" s="45"/>
      <c r="AE4" s="25"/>
      <c r="AF4" s="25"/>
      <c r="AG4" s="25"/>
      <c r="AH4" s="186"/>
      <c r="AI4" s="187"/>
      <c r="AJ4" s="188"/>
      <c r="AK4" s="25"/>
      <c r="AL4" s="25"/>
      <c r="AM4" s="25"/>
      <c r="AN4" s="190"/>
      <c r="AO4" s="186"/>
      <c r="AP4" s="214"/>
      <c r="AQ4" s="15"/>
      <c r="AR4" s="215"/>
      <c r="AS4" s="216"/>
      <c r="AT4" s="15"/>
      <c r="AU4" s="15"/>
    </row>
    <row r="5" s="4" customFormat="1" ht="71.25" customHeight="1" spans="1:42">
      <c r="A5" s="23">
        <f>SUBTOTAL(3,C5:C$5)</f>
        <v>1</v>
      </c>
      <c r="B5" s="24" t="s">
        <v>2872</v>
      </c>
      <c r="C5" s="25" t="s">
        <v>79</v>
      </c>
      <c r="D5" s="24" t="s">
        <v>2873</v>
      </c>
      <c r="E5" s="25" t="s">
        <v>81</v>
      </c>
      <c r="F5" s="26">
        <v>140000</v>
      </c>
      <c r="G5" s="27" t="s">
        <v>2874</v>
      </c>
      <c r="H5" s="26">
        <v>10000</v>
      </c>
      <c r="I5" s="56"/>
      <c r="J5" s="36"/>
      <c r="K5" s="103" t="s">
        <v>2875</v>
      </c>
      <c r="L5" s="103" t="s">
        <v>117</v>
      </c>
      <c r="M5" s="90"/>
      <c r="N5" s="90"/>
      <c r="O5" s="24" t="s">
        <v>2876</v>
      </c>
      <c r="P5" s="25" t="s">
        <v>2877</v>
      </c>
      <c r="Q5" s="25" t="s">
        <v>185</v>
      </c>
      <c r="R5" s="148" t="s">
        <v>2878</v>
      </c>
      <c r="S5" s="35"/>
      <c r="T5" s="92" t="s">
        <v>186</v>
      </c>
      <c r="U5" s="92" t="s">
        <v>91</v>
      </c>
      <c r="V5" s="92" t="str">
        <f t="shared" ref="V5:V9" si="0">U5&amp;T5</f>
        <v>工业中马园</v>
      </c>
      <c r="W5" s="149"/>
      <c r="X5" s="67"/>
      <c r="Y5" s="35"/>
      <c r="Z5" s="35"/>
      <c r="AA5" s="35"/>
      <c r="AB5" s="35"/>
      <c r="AC5" s="35"/>
      <c r="AD5" s="35"/>
      <c r="AE5" s="35"/>
      <c r="AF5" s="35" t="s">
        <v>92</v>
      </c>
      <c r="AG5" s="35" t="s">
        <v>93</v>
      </c>
      <c r="AH5" s="179" t="str">
        <f t="shared" ref="AH5:AH7" si="1">AF5&amp;Q5</f>
        <v>企业中马钦州产业园区管委</v>
      </c>
      <c r="AI5" s="179" t="str">
        <f t="shared" ref="AI5:AI7" si="2">AG5&amp;Q5</f>
        <v>产业中马钦州产业园区管委</v>
      </c>
      <c r="AJ5" s="191">
        <f t="shared" ref="AJ5:AJ7" si="3">IF(I5&gt;0,1,0)</f>
        <v>0</v>
      </c>
      <c r="AK5" s="35"/>
      <c r="AL5" s="35"/>
      <c r="AM5" s="35"/>
      <c r="AN5" s="35"/>
      <c r="AO5" s="217"/>
      <c r="AP5" s="8" t="s">
        <v>1895</v>
      </c>
    </row>
    <row r="6" s="5" customFormat="1" ht="50.65" customHeight="1" spans="1:42">
      <c r="A6" s="23">
        <f>SUBTOTAL(3,C$5:C6)</f>
        <v>2</v>
      </c>
      <c r="B6" s="28" t="s">
        <v>2879</v>
      </c>
      <c r="C6" s="29" t="s">
        <v>79</v>
      </c>
      <c r="D6" s="30" t="s">
        <v>2880</v>
      </c>
      <c r="E6" s="31" t="s">
        <v>112</v>
      </c>
      <c r="F6" s="29">
        <v>9000</v>
      </c>
      <c r="G6" s="32">
        <v>43801</v>
      </c>
      <c r="H6" s="33">
        <v>1000</v>
      </c>
      <c r="I6" s="104"/>
      <c r="J6" s="105"/>
      <c r="K6" s="106" t="s">
        <v>132</v>
      </c>
      <c r="L6" s="107" t="s">
        <v>2881</v>
      </c>
      <c r="M6" s="108"/>
      <c r="N6" s="108"/>
      <c r="O6" s="109" t="s">
        <v>1194</v>
      </c>
      <c r="P6" s="110" t="s">
        <v>2634</v>
      </c>
      <c r="Q6" s="31" t="s">
        <v>317</v>
      </c>
      <c r="R6" s="148" t="s">
        <v>2882</v>
      </c>
      <c r="S6" s="29"/>
      <c r="T6" s="148" t="s">
        <v>1997</v>
      </c>
      <c r="U6" s="148" t="s">
        <v>1978</v>
      </c>
      <c r="V6" s="148" t="str">
        <f t="shared" si="0"/>
        <v>交通公路</v>
      </c>
      <c r="W6" s="150"/>
      <c r="X6" s="105"/>
      <c r="Y6" s="29"/>
      <c r="Z6" s="29"/>
      <c r="AA6" s="29"/>
      <c r="AB6" s="29"/>
      <c r="AC6" s="29"/>
      <c r="AD6" s="114"/>
      <c r="AE6" s="29"/>
      <c r="AF6" s="29" t="s">
        <v>205</v>
      </c>
      <c r="AG6" s="29" t="s">
        <v>1980</v>
      </c>
      <c r="AH6" s="192" t="str">
        <f t="shared" si="1"/>
        <v>政府浦北县人民政府</v>
      </c>
      <c r="AI6" s="192" t="str">
        <f t="shared" si="2"/>
        <v>基础设施浦北县人民政府</v>
      </c>
      <c r="AJ6" s="193">
        <f t="shared" si="3"/>
        <v>0</v>
      </c>
      <c r="AK6" s="29"/>
      <c r="AL6" s="29"/>
      <c r="AM6" s="29"/>
      <c r="AN6" s="114"/>
      <c r="AO6" s="218"/>
      <c r="AP6" s="219" t="s">
        <v>2004</v>
      </c>
    </row>
    <row r="7" s="4" customFormat="1" ht="65.25" customHeight="1" spans="1:42">
      <c r="A7" s="23">
        <f>SUBTOTAL(3,C$5:C7)</f>
        <v>3</v>
      </c>
      <c r="B7" s="34" t="s">
        <v>2883</v>
      </c>
      <c r="C7" s="35" t="s">
        <v>79</v>
      </c>
      <c r="D7" s="34" t="s">
        <v>2884</v>
      </c>
      <c r="E7" s="35" t="s">
        <v>81</v>
      </c>
      <c r="F7" s="36">
        <v>210400</v>
      </c>
      <c r="G7" s="37" t="s">
        <v>2885</v>
      </c>
      <c r="H7" s="38">
        <v>350</v>
      </c>
      <c r="I7" s="111"/>
      <c r="J7" s="67"/>
      <c r="K7" s="112" t="s">
        <v>2886</v>
      </c>
      <c r="L7" s="112" t="s">
        <v>2887</v>
      </c>
      <c r="M7" s="90"/>
      <c r="N7" s="90"/>
      <c r="O7" s="34" t="s">
        <v>1137</v>
      </c>
      <c r="P7" s="35" t="s">
        <v>1992</v>
      </c>
      <c r="Q7" s="35" t="s">
        <v>1139</v>
      </c>
      <c r="R7" s="148" t="s">
        <v>2882</v>
      </c>
      <c r="S7" s="35"/>
      <c r="T7" s="37" t="s">
        <v>1993</v>
      </c>
      <c r="U7" s="37" t="s">
        <v>1978</v>
      </c>
      <c r="V7" s="92" t="str">
        <f t="shared" si="0"/>
        <v>交通铁路</v>
      </c>
      <c r="W7" s="149"/>
      <c r="X7" s="67"/>
      <c r="Y7" s="35"/>
      <c r="Z7" s="35"/>
      <c r="AA7" s="35"/>
      <c r="AB7" s="35"/>
      <c r="AC7" s="35"/>
      <c r="AD7" s="59"/>
      <c r="AE7" s="35"/>
      <c r="AF7" s="35" t="s">
        <v>92</v>
      </c>
      <c r="AG7" s="35" t="s">
        <v>1980</v>
      </c>
      <c r="AH7" s="179" t="str">
        <f t="shared" si="1"/>
        <v>企业市铁建办</v>
      </c>
      <c r="AI7" s="179" t="str">
        <f t="shared" si="2"/>
        <v>基础设施市铁建办</v>
      </c>
      <c r="AJ7" s="179">
        <f t="shared" si="3"/>
        <v>0</v>
      </c>
      <c r="AK7" s="35"/>
      <c r="AL7" s="35"/>
      <c r="AM7" s="35"/>
      <c r="AN7" s="59"/>
      <c r="AO7" s="217"/>
      <c r="AP7" s="8" t="s">
        <v>2888</v>
      </c>
    </row>
    <row r="8" s="5" customFormat="1" ht="49.5" customHeight="1" spans="1:55">
      <c r="A8" s="23">
        <f>SUBTOTAL(3,C$5:C8)</f>
        <v>4</v>
      </c>
      <c r="B8" s="39" t="s">
        <v>2889</v>
      </c>
      <c r="C8" s="40" t="s">
        <v>810</v>
      </c>
      <c r="D8" s="41" t="s">
        <v>2890</v>
      </c>
      <c r="E8" s="29" t="s">
        <v>832</v>
      </c>
      <c r="F8" s="29">
        <v>44000</v>
      </c>
      <c r="G8" s="29">
        <v>43500</v>
      </c>
      <c r="H8" s="42">
        <v>43586</v>
      </c>
      <c r="I8" s="29">
        <v>500</v>
      </c>
      <c r="J8" s="113"/>
      <c r="K8" s="28" t="s">
        <v>2891</v>
      </c>
      <c r="L8" s="28" t="s">
        <v>117</v>
      </c>
      <c r="M8" s="108"/>
      <c r="N8" s="108"/>
      <c r="O8" s="39" t="s">
        <v>912</v>
      </c>
      <c r="P8" s="114" t="s">
        <v>2614</v>
      </c>
      <c r="Q8" s="114" t="s">
        <v>359</v>
      </c>
      <c r="R8" s="148" t="s">
        <v>2892</v>
      </c>
      <c r="S8" s="151"/>
      <c r="T8" s="148" t="s">
        <v>360</v>
      </c>
      <c r="U8" s="148" t="s">
        <v>420</v>
      </c>
      <c r="V8" s="148" t="str">
        <f t="shared" si="0"/>
        <v>能源钦南区</v>
      </c>
      <c r="W8" s="148"/>
      <c r="X8" s="152"/>
      <c r="Y8" s="152"/>
      <c r="Z8" s="105"/>
      <c r="AA8" s="29"/>
      <c r="AB8" s="29"/>
      <c r="AC8" s="29"/>
      <c r="AD8" s="29"/>
      <c r="AE8" s="29"/>
      <c r="AF8" s="29"/>
      <c r="AG8" s="29"/>
      <c r="AH8" s="29"/>
      <c r="AI8" s="194" t="s">
        <v>92</v>
      </c>
      <c r="AJ8" s="194" t="s">
        <v>1980</v>
      </c>
      <c r="AK8" s="195" t="str">
        <f>AI8&amp;Q8</f>
        <v>企业钦南区人民政府</v>
      </c>
      <c r="AL8" s="195" t="str">
        <f>AJ8&amp;Q8</f>
        <v>基础设施钦南区人民政府</v>
      </c>
      <c r="AM8" s="196"/>
      <c r="AN8" s="29"/>
      <c r="AO8" s="29"/>
      <c r="AP8" s="29"/>
      <c r="AQ8" s="220"/>
      <c r="AR8" s="221"/>
      <c r="AS8" s="222"/>
      <c r="AT8" s="221"/>
      <c r="AU8" s="223"/>
      <c r="AV8" s="221"/>
      <c r="AW8" s="221"/>
      <c r="AX8" s="221"/>
      <c r="AY8" s="222"/>
      <c r="AZ8" s="222"/>
      <c r="BA8" s="222"/>
      <c r="BB8" s="222"/>
      <c r="BC8" s="222"/>
    </row>
    <row r="9" s="5" customFormat="1" ht="74.25" customHeight="1" spans="1:55">
      <c r="A9" s="23">
        <f>SUBTOTAL(3,C$5:C9)</f>
        <v>5</v>
      </c>
      <c r="B9" s="28" t="s">
        <v>2893</v>
      </c>
      <c r="C9" s="28" t="s">
        <v>810</v>
      </c>
      <c r="D9" s="43" t="s">
        <v>2894</v>
      </c>
      <c r="E9" s="29" t="s">
        <v>812</v>
      </c>
      <c r="F9" s="29">
        <v>5060</v>
      </c>
      <c r="G9" s="29">
        <v>4710</v>
      </c>
      <c r="H9" s="44">
        <v>43525</v>
      </c>
      <c r="I9" s="29">
        <v>350</v>
      </c>
      <c r="J9" s="29"/>
      <c r="K9" s="43" t="s">
        <v>2895</v>
      </c>
      <c r="L9" s="28" t="s">
        <v>117</v>
      </c>
      <c r="M9" s="43"/>
      <c r="N9" s="43"/>
      <c r="O9" s="43" t="s">
        <v>1137</v>
      </c>
      <c r="P9" s="29" t="s">
        <v>1992</v>
      </c>
      <c r="Q9" s="29" t="s">
        <v>1139</v>
      </c>
      <c r="R9" s="148" t="s">
        <v>2896</v>
      </c>
      <c r="S9" s="151"/>
      <c r="T9" s="148" t="s">
        <v>1993</v>
      </c>
      <c r="U9" s="148" t="s">
        <v>1978</v>
      </c>
      <c r="V9" s="148" t="str">
        <f t="shared" si="0"/>
        <v>交通铁路</v>
      </c>
      <c r="W9" s="148"/>
      <c r="X9" s="152"/>
      <c r="Y9" s="152"/>
      <c r="Z9" s="105"/>
      <c r="AA9" s="29"/>
      <c r="AB9" s="29"/>
      <c r="AC9" s="29"/>
      <c r="AD9" s="29"/>
      <c r="AE9" s="29"/>
      <c r="AF9" s="29"/>
      <c r="AG9" s="29"/>
      <c r="AH9" s="29"/>
      <c r="AI9" s="194" t="s">
        <v>92</v>
      </c>
      <c r="AJ9" s="194" t="s">
        <v>1980</v>
      </c>
      <c r="AK9" s="195" t="str">
        <f>AI9&amp;Q9</f>
        <v>企业市铁建办</v>
      </c>
      <c r="AL9" s="195" t="str">
        <f>AJ9&amp;Q9</f>
        <v>基础设施市铁建办</v>
      </c>
      <c r="AM9" s="196">
        <f>IF(J9&gt;0,1,0)</f>
        <v>0</v>
      </c>
      <c r="AN9" s="29" t="str">
        <f>IF(I9&lt;1000,"",V9&amp;"1000")</f>
        <v/>
      </c>
      <c r="AO9" s="29" t="str">
        <f>IF(I9&lt;2000,"",V9&amp;"2000")</f>
        <v/>
      </c>
      <c r="AP9" s="29" t="str">
        <f>IF(I9&lt;5000,"",V9&amp;"5000")</f>
        <v/>
      </c>
      <c r="AQ9" s="220"/>
      <c r="AR9" s="221"/>
      <c r="AS9" s="222"/>
      <c r="AT9" s="222"/>
      <c r="AU9" s="222"/>
      <c r="AV9" s="222"/>
      <c r="AW9" s="222"/>
      <c r="AX9" s="222"/>
      <c r="AY9" s="222"/>
      <c r="AZ9" s="222"/>
      <c r="BA9" s="222"/>
      <c r="BB9" s="222"/>
      <c r="BC9" s="222"/>
    </row>
    <row r="10" s="4" customFormat="1" ht="73.5" customHeight="1" spans="1:42">
      <c r="A10" s="23">
        <f>SUBTOTAL(3,C$5:C10)</f>
        <v>6</v>
      </c>
      <c r="B10" s="34" t="s">
        <v>2897</v>
      </c>
      <c r="C10" s="25" t="s">
        <v>79</v>
      </c>
      <c r="D10" s="34" t="s">
        <v>2898</v>
      </c>
      <c r="E10" s="25" t="s">
        <v>81</v>
      </c>
      <c r="F10" s="25">
        <v>800000</v>
      </c>
      <c r="G10" s="37" t="s">
        <v>2885</v>
      </c>
      <c r="H10" s="35">
        <v>300</v>
      </c>
      <c r="I10" s="56"/>
      <c r="J10" s="35"/>
      <c r="K10" s="103" t="s">
        <v>2899</v>
      </c>
      <c r="L10" s="112" t="s">
        <v>2900</v>
      </c>
      <c r="M10" s="90"/>
      <c r="N10" s="90"/>
      <c r="O10" s="24" t="s">
        <v>185</v>
      </c>
      <c r="P10" s="25" t="s">
        <v>2901</v>
      </c>
      <c r="Q10" s="153" t="s">
        <v>2781</v>
      </c>
      <c r="R10" s="148" t="s">
        <v>2902</v>
      </c>
      <c r="S10" s="35"/>
      <c r="T10" s="37" t="s">
        <v>1993</v>
      </c>
      <c r="U10" s="37" t="s">
        <v>1978</v>
      </c>
      <c r="V10" s="92" t="str">
        <f t="shared" ref="V10:V18" si="4">U10&amp;T10</f>
        <v>交通铁路</v>
      </c>
      <c r="W10" s="149"/>
      <c r="X10" s="67"/>
      <c r="Y10" s="35"/>
      <c r="Z10" s="35"/>
      <c r="AA10" s="35"/>
      <c r="AB10" s="35"/>
      <c r="AC10" s="35"/>
      <c r="AD10" s="35"/>
      <c r="AE10" s="35"/>
      <c r="AF10" s="35" t="s">
        <v>205</v>
      </c>
      <c r="AG10" s="35" t="s">
        <v>1980</v>
      </c>
      <c r="AH10" s="179" t="str">
        <f t="shared" ref="AH10:AH15" si="5">AF10&amp;Q10</f>
        <v>政府市铁建办、中马钦州产业园区管委</v>
      </c>
      <c r="AI10" s="179" t="str">
        <f t="shared" ref="AI10:AI15" si="6">AG10&amp;Q10</f>
        <v>基础设施市铁建办、中马钦州产业园区管委</v>
      </c>
      <c r="AJ10" s="191">
        <f t="shared" ref="AJ10:AJ14" si="7">IF(I10&gt;0,1,0)</f>
        <v>0</v>
      </c>
      <c r="AK10" s="35"/>
      <c r="AL10" s="35"/>
      <c r="AM10" s="35"/>
      <c r="AN10" s="35"/>
      <c r="AO10" s="217"/>
      <c r="AP10" s="8" t="s">
        <v>1895</v>
      </c>
    </row>
    <row r="11" s="4" customFormat="1" ht="76.5" customHeight="1" spans="1:57">
      <c r="A11" s="23">
        <f>SUBTOTAL(3,C$5:C11)</f>
        <v>7</v>
      </c>
      <c r="B11" s="24" t="s">
        <v>2903</v>
      </c>
      <c r="C11" s="25" t="s">
        <v>79</v>
      </c>
      <c r="D11" s="24" t="s">
        <v>2904</v>
      </c>
      <c r="E11" s="45" t="s">
        <v>112</v>
      </c>
      <c r="F11" s="26">
        <v>50000</v>
      </c>
      <c r="G11" s="46">
        <v>43709</v>
      </c>
      <c r="H11" s="47">
        <v>2000</v>
      </c>
      <c r="I11" s="57">
        <v>15000</v>
      </c>
      <c r="J11" s="50"/>
      <c r="K11" s="103" t="s">
        <v>2905</v>
      </c>
      <c r="L11" s="103" t="s">
        <v>2906</v>
      </c>
      <c r="M11" s="90"/>
      <c r="N11" s="90"/>
      <c r="O11" s="79" t="s">
        <v>591</v>
      </c>
      <c r="P11" s="80" t="s">
        <v>2075</v>
      </c>
      <c r="Q11" s="80" t="s">
        <v>185</v>
      </c>
      <c r="R11" s="154" t="s">
        <v>2907</v>
      </c>
      <c r="S11" s="92"/>
      <c r="T11" s="92" t="s">
        <v>2110</v>
      </c>
      <c r="U11" s="92" t="s">
        <v>459</v>
      </c>
      <c r="V11" s="92" t="str">
        <f t="shared" si="4"/>
        <v>服务业商贸流通</v>
      </c>
      <c r="W11" s="67"/>
      <c r="X11" s="35"/>
      <c r="Y11" s="35"/>
      <c r="Z11" s="35"/>
      <c r="AA11" s="35"/>
      <c r="AB11" s="35"/>
      <c r="AC11" s="35"/>
      <c r="AD11" s="35"/>
      <c r="AE11" s="35"/>
      <c r="AF11" s="35" t="s">
        <v>205</v>
      </c>
      <c r="AG11" s="35" t="s">
        <v>1980</v>
      </c>
      <c r="AH11" s="179" t="str">
        <f t="shared" si="5"/>
        <v>政府中马钦州产业园区管委</v>
      </c>
      <c r="AI11" s="179" t="str">
        <f t="shared" si="6"/>
        <v>基础设施中马钦州产业园区管委</v>
      </c>
      <c r="AJ11" s="197">
        <f>IF(J11&gt;0,1,0)</f>
        <v>0</v>
      </c>
      <c r="AK11" s="35" t="str">
        <f>IF(I11&lt;1000,"",S11&amp;"1000")</f>
        <v>1000</v>
      </c>
      <c r="AL11" s="35" t="str">
        <f>IF(I11&lt;2000,"",S11&amp;"2000")</f>
        <v>2000</v>
      </c>
      <c r="AM11" s="35" t="str">
        <f>IF(I11&lt;5000,"",S11&amp;"5000")</f>
        <v>5000</v>
      </c>
      <c r="AN11" s="59"/>
      <c r="AO11" s="8"/>
      <c r="AP11" s="8"/>
      <c r="AS11" s="206"/>
      <c r="AT11" s="7"/>
      <c r="AU11" s="206"/>
      <c r="AV11" s="224"/>
      <c r="AW11" s="206"/>
      <c r="AX11" s="206"/>
      <c r="AY11" s="206"/>
      <c r="AZ11" s="7"/>
      <c r="BA11" s="7"/>
      <c r="BB11" s="7"/>
      <c r="BC11" s="7"/>
      <c r="BD11" s="7"/>
      <c r="BE11" s="7"/>
    </row>
    <row r="12" s="4" customFormat="1" ht="60.6" customHeight="1" spans="1:42">
      <c r="A12" s="23">
        <f>SUBTOTAL(3,C$5:C12)</f>
        <v>8</v>
      </c>
      <c r="B12" s="24" t="s">
        <v>2908</v>
      </c>
      <c r="C12" s="48" t="s">
        <v>79</v>
      </c>
      <c r="D12" s="24" t="s">
        <v>2909</v>
      </c>
      <c r="E12" s="25" t="s">
        <v>112</v>
      </c>
      <c r="F12" s="26">
        <v>5995</v>
      </c>
      <c r="G12" s="49">
        <v>43618</v>
      </c>
      <c r="H12" s="26">
        <v>400</v>
      </c>
      <c r="I12" s="111"/>
      <c r="J12" s="67"/>
      <c r="K12" s="103" t="s">
        <v>2910</v>
      </c>
      <c r="L12" s="103" t="s">
        <v>2911</v>
      </c>
      <c r="M12" s="90"/>
      <c r="N12" s="90"/>
      <c r="O12" s="25" t="s">
        <v>1780</v>
      </c>
      <c r="P12" s="25" t="s">
        <v>2137</v>
      </c>
      <c r="Q12" s="25" t="s">
        <v>359</v>
      </c>
      <c r="R12" s="92" t="s">
        <v>2912</v>
      </c>
      <c r="S12" s="35"/>
      <c r="T12" s="92" t="s">
        <v>2138</v>
      </c>
      <c r="U12" s="92" t="s">
        <v>2139</v>
      </c>
      <c r="V12" s="92" t="str">
        <f t="shared" si="4"/>
        <v>社会事业教育</v>
      </c>
      <c r="W12" s="149"/>
      <c r="X12" s="67"/>
      <c r="Y12" s="35"/>
      <c r="Z12" s="35"/>
      <c r="AA12" s="35"/>
      <c r="AB12" s="35"/>
      <c r="AC12" s="35"/>
      <c r="AD12" s="59"/>
      <c r="AE12" s="35"/>
      <c r="AF12" s="35" t="s">
        <v>205</v>
      </c>
      <c r="AG12" s="35" t="s">
        <v>2140</v>
      </c>
      <c r="AH12" s="179" t="str">
        <f t="shared" si="5"/>
        <v>政府钦南区人民政府</v>
      </c>
      <c r="AI12" s="179" t="str">
        <f t="shared" si="6"/>
        <v>民生设施钦南区人民政府</v>
      </c>
      <c r="AJ12" s="191">
        <f t="shared" si="7"/>
        <v>0</v>
      </c>
      <c r="AK12" s="35"/>
      <c r="AL12" s="35"/>
      <c r="AM12" s="35"/>
      <c r="AN12" s="59"/>
      <c r="AO12" s="217"/>
      <c r="AP12" s="8"/>
    </row>
    <row r="13" s="4" customFormat="1" ht="71.25" customHeight="1" spans="1:42">
      <c r="A13" s="23">
        <f>SUBTOTAL(3,C$5:C13)</f>
        <v>9</v>
      </c>
      <c r="B13" s="34" t="s">
        <v>2913</v>
      </c>
      <c r="C13" s="35" t="s">
        <v>79</v>
      </c>
      <c r="D13" s="34" t="s">
        <v>2914</v>
      </c>
      <c r="E13" s="35" t="s">
        <v>81</v>
      </c>
      <c r="F13" s="36">
        <v>8370</v>
      </c>
      <c r="G13" s="50">
        <v>43742</v>
      </c>
      <c r="H13" s="36">
        <v>1000</v>
      </c>
      <c r="I13" s="67"/>
      <c r="J13" s="67"/>
      <c r="K13" s="112" t="s">
        <v>2915</v>
      </c>
      <c r="L13" s="112" t="s">
        <v>2916</v>
      </c>
      <c r="M13" s="90"/>
      <c r="N13" s="90"/>
      <c r="O13" s="34" t="s">
        <v>2917</v>
      </c>
      <c r="P13" s="35" t="s">
        <v>2918</v>
      </c>
      <c r="Q13" s="35" t="s">
        <v>375</v>
      </c>
      <c r="R13" s="92" t="s">
        <v>2919</v>
      </c>
      <c r="S13" s="35"/>
      <c r="T13" s="92" t="s">
        <v>2147</v>
      </c>
      <c r="U13" s="92" t="s">
        <v>2139</v>
      </c>
      <c r="V13" s="92" t="str">
        <f t="shared" si="4"/>
        <v>社会事业卫生</v>
      </c>
      <c r="W13" s="149"/>
      <c r="X13" s="67"/>
      <c r="Y13" s="35"/>
      <c r="Z13" s="35"/>
      <c r="AA13" s="35"/>
      <c r="AB13" s="35"/>
      <c r="AC13" s="35"/>
      <c r="AD13" s="35"/>
      <c r="AE13" s="35"/>
      <c r="AF13" s="35" t="s">
        <v>205</v>
      </c>
      <c r="AG13" s="35" t="s">
        <v>2140</v>
      </c>
      <c r="AH13" s="179" t="str">
        <f t="shared" si="5"/>
        <v>政府钦北区人民政府</v>
      </c>
      <c r="AI13" s="179" t="str">
        <f t="shared" si="6"/>
        <v>民生设施钦北区人民政府</v>
      </c>
      <c r="AJ13" s="191">
        <f t="shared" si="7"/>
        <v>0</v>
      </c>
      <c r="AK13" s="35"/>
      <c r="AL13" s="35"/>
      <c r="AM13" s="35"/>
      <c r="AN13" s="35"/>
      <c r="AO13" s="217"/>
      <c r="AP13" s="8" t="s">
        <v>1917</v>
      </c>
    </row>
    <row r="14" s="4" customFormat="1" ht="61.5" customHeight="1" spans="1:42">
      <c r="A14" s="23">
        <f>SUBTOTAL(3,C$5:C14)</f>
        <v>10</v>
      </c>
      <c r="B14" s="34" t="s">
        <v>2920</v>
      </c>
      <c r="C14" s="35" t="s">
        <v>79</v>
      </c>
      <c r="D14" s="34" t="s">
        <v>2921</v>
      </c>
      <c r="E14" s="35" t="s">
        <v>81</v>
      </c>
      <c r="F14" s="36">
        <v>8291</v>
      </c>
      <c r="G14" s="50">
        <v>43712</v>
      </c>
      <c r="H14" s="36">
        <v>4000</v>
      </c>
      <c r="I14" s="67"/>
      <c r="J14" s="67"/>
      <c r="K14" s="112" t="s">
        <v>132</v>
      </c>
      <c r="L14" s="112" t="s">
        <v>1788</v>
      </c>
      <c r="M14" s="90"/>
      <c r="N14" s="90"/>
      <c r="O14" s="34" t="s">
        <v>2922</v>
      </c>
      <c r="P14" s="35" t="s">
        <v>2923</v>
      </c>
      <c r="Q14" s="35" t="s">
        <v>375</v>
      </c>
      <c r="R14" s="92" t="s">
        <v>2919</v>
      </c>
      <c r="S14" s="35"/>
      <c r="T14" s="92" t="s">
        <v>2147</v>
      </c>
      <c r="U14" s="92" t="s">
        <v>2139</v>
      </c>
      <c r="V14" s="92" t="str">
        <f t="shared" si="4"/>
        <v>社会事业卫生</v>
      </c>
      <c r="W14" s="149"/>
      <c r="X14" s="67"/>
      <c r="Y14" s="35"/>
      <c r="Z14" s="35"/>
      <c r="AA14" s="35"/>
      <c r="AB14" s="35"/>
      <c r="AC14" s="35"/>
      <c r="AD14" s="35"/>
      <c r="AE14" s="35"/>
      <c r="AF14" s="35" t="s">
        <v>205</v>
      </c>
      <c r="AG14" s="35" t="s">
        <v>2140</v>
      </c>
      <c r="AH14" s="179" t="str">
        <f t="shared" si="5"/>
        <v>政府钦北区人民政府</v>
      </c>
      <c r="AI14" s="179" t="str">
        <f t="shared" si="6"/>
        <v>民生设施钦北区人民政府</v>
      </c>
      <c r="AJ14" s="191">
        <f t="shared" si="7"/>
        <v>0</v>
      </c>
      <c r="AK14" s="35"/>
      <c r="AL14" s="35"/>
      <c r="AM14" s="35"/>
      <c r="AN14" s="35"/>
      <c r="AO14" s="217"/>
      <c r="AP14" s="8" t="s">
        <v>1917</v>
      </c>
    </row>
    <row r="15" s="4" customFormat="1" ht="83.65" customHeight="1" spans="1:53">
      <c r="A15" s="23">
        <f>SUBTOTAL(3,C$5:C15)</f>
        <v>11</v>
      </c>
      <c r="B15" s="51" t="s">
        <v>768</v>
      </c>
      <c r="C15" s="52" t="s">
        <v>562</v>
      </c>
      <c r="D15" s="53" t="s">
        <v>2924</v>
      </c>
      <c r="E15" s="52" t="s">
        <v>575</v>
      </c>
      <c r="F15" s="52">
        <v>27500</v>
      </c>
      <c r="G15" s="52">
        <v>27500</v>
      </c>
      <c r="H15" s="54" t="s">
        <v>2925</v>
      </c>
      <c r="I15" s="52">
        <v>1500</v>
      </c>
      <c r="J15" s="50"/>
      <c r="K15" s="51" t="s">
        <v>2926</v>
      </c>
      <c r="L15" s="51" t="s">
        <v>2522</v>
      </c>
      <c r="M15" s="90"/>
      <c r="N15" s="90"/>
      <c r="O15" s="51" t="s">
        <v>1040</v>
      </c>
      <c r="P15" s="52" t="s">
        <v>2927</v>
      </c>
      <c r="Q15" s="52" t="s">
        <v>498</v>
      </c>
      <c r="R15" s="92"/>
      <c r="S15" s="35"/>
      <c r="T15" s="92" t="s">
        <v>2928</v>
      </c>
      <c r="U15" s="92" t="s">
        <v>459</v>
      </c>
      <c r="V15" s="92" t="str">
        <f t="shared" si="4"/>
        <v>服务业科技信息</v>
      </c>
      <c r="W15" s="92"/>
      <c r="X15" s="35"/>
      <c r="Y15" s="156"/>
      <c r="Z15" s="67"/>
      <c r="AA15" s="35"/>
      <c r="AB15" s="35"/>
      <c r="AC15" s="35"/>
      <c r="AD15" s="35"/>
      <c r="AE15" s="35"/>
      <c r="AF15" s="179" t="s">
        <v>92</v>
      </c>
      <c r="AG15" s="198" t="s">
        <v>93</v>
      </c>
      <c r="AH15" s="179" t="str">
        <f t="shared" si="5"/>
        <v>企业市滨海新城管委</v>
      </c>
      <c r="AI15" s="179" t="str">
        <f t="shared" si="6"/>
        <v>产业市滨海新城管委</v>
      </c>
      <c r="AJ15" s="197">
        <f>IF(J15&gt;0,1,0)</f>
        <v>0</v>
      </c>
      <c r="AK15" s="35" t="str">
        <f>IF(I15&lt;1000,"",V15&amp;"1000")</f>
        <v>服务业科技信息1000</v>
      </c>
      <c r="AL15" s="35" t="str">
        <f>IF(I15&lt;2000,"",V15&amp;"2000")</f>
        <v/>
      </c>
      <c r="AM15" s="35" t="str">
        <f>IF(I15&lt;5000,"",V15&amp;"5000")</f>
        <v/>
      </c>
      <c r="AN15" s="59"/>
      <c r="AO15" s="217"/>
      <c r="AP15" s="199"/>
      <c r="AQ15" s="206"/>
      <c r="AR15" s="206"/>
      <c r="AS15" s="206"/>
      <c r="AT15" s="206"/>
      <c r="AU15" s="206"/>
      <c r="AV15" s="7"/>
      <c r="AW15" s="7"/>
      <c r="AX15" s="7"/>
      <c r="AY15" s="7"/>
      <c r="AZ15" s="7"/>
      <c r="BA15" s="7"/>
    </row>
    <row r="16" s="4" customFormat="1" ht="66.75" customHeight="1" spans="1:55">
      <c r="A16" s="23">
        <f>SUBTOTAL(3,C$5:C16)</f>
        <v>12</v>
      </c>
      <c r="B16" s="34" t="s">
        <v>2929</v>
      </c>
      <c r="C16" s="35" t="s">
        <v>810</v>
      </c>
      <c r="D16" s="55" t="s">
        <v>2930</v>
      </c>
      <c r="E16" s="35" t="s">
        <v>832</v>
      </c>
      <c r="F16" s="38">
        <v>8400</v>
      </c>
      <c r="G16" s="38">
        <v>7820</v>
      </c>
      <c r="H16" s="56">
        <v>43801</v>
      </c>
      <c r="I16" s="38">
        <v>580</v>
      </c>
      <c r="J16" s="111"/>
      <c r="K16" s="90" t="s">
        <v>2931</v>
      </c>
      <c r="L16" s="90" t="s">
        <v>2932</v>
      </c>
      <c r="M16" s="90"/>
      <c r="N16" s="90"/>
      <c r="O16" s="34" t="s">
        <v>1493</v>
      </c>
      <c r="P16" s="35" t="s">
        <v>2933</v>
      </c>
      <c r="Q16" s="35" t="s">
        <v>269</v>
      </c>
      <c r="R16" s="92"/>
      <c r="S16" s="76"/>
      <c r="T16" s="92" t="s">
        <v>1997</v>
      </c>
      <c r="U16" s="92" t="s">
        <v>1978</v>
      </c>
      <c r="V16" s="92" t="str">
        <f t="shared" si="4"/>
        <v>交通公路</v>
      </c>
      <c r="W16" s="92"/>
      <c r="X16" s="37"/>
      <c r="Y16" s="37"/>
      <c r="Z16" s="67"/>
      <c r="AA16" s="35"/>
      <c r="AB16" s="35"/>
      <c r="AC16" s="35"/>
      <c r="AD16" s="35"/>
      <c r="AE16" s="35"/>
      <c r="AF16" s="35"/>
      <c r="AG16" s="35"/>
      <c r="AH16" s="35"/>
      <c r="AI16" s="199" t="s">
        <v>205</v>
      </c>
      <c r="AJ16" s="199" t="s">
        <v>1980</v>
      </c>
      <c r="AK16" s="197" t="str">
        <f t="shared" ref="AK16:AK21" si="8">AI16&amp;Q16</f>
        <v>政府灵山县人民政府</v>
      </c>
      <c r="AL16" s="197" t="str">
        <f t="shared" ref="AL16:AL21" si="9">AJ16&amp;Q16</f>
        <v>基础设施灵山县人民政府</v>
      </c>
      <c r="AM16" s="200">
        <f t="shared" ref="AM16:AM21" si="10">IF(J16&gt;0,1,0)</f>
        <v>0</v>
      </c>
      <c r="AN16" s="35" t="str">
        <f t="shared" ref="AN16:AN21" si="11">IF(I16&lt;1000,"",V16&amp;"1000")</f>
        <v/>
      </c>
      <c r="AO16" s="35" t="str">
        <f t="shared" ref="AO16:AO21" si="12">IF(I16&lt;2000,"",V16&amp;"2000")</f>
        <v/>
      </c>
      <c r="AP16" s="35" t="str">
        <f t="shared" ref="AP16:AP21" si="13">IF(I16&lt;5000,"",V16&amp;"5000")</f>
        <v/>
      </c>
      <c r="AQ16" s="181"/>
      <c r="AR16" s="206"/>
      <c r="AS16" s="7"/>
      <c r="AT16" s="206"/>
      <c r="AU16" s="225"/>
      <c r="AV16" s="206"/>
      <c r="AW16" s="206"/>
      <c r="AX16" s="206"/>
      <c r="AY16" s="7"/>
      <c r="AZ16" s="7"/>
      <c r="BA16" s="7"/>
      <c r="BB16" s="7"/>
      <c r="BC16" s="7"/>
    </row>
    <row r="17" s="6" customFormat="1" ht="49.5" customHeight="1" spans="1:42">
      <c r="A17" s="23">
        <f>SUBTOTAL(3,C$5:C17)</f>
        <v>13</v>
      </c>
      <c r="B17" s="24" t="s">
        <v>2934</v>
      </c>
      <c r="C17" s="25" t="s">
        <v>79</v>
      </c>
      <c r="D17" s="24" t="s">
        <v>2935</v>
      </c>
      <c r="E17" s="25" t="s">
        <v>112</v>
      </c>
      <c r="F17" s="57">
        <v>1960</v>
      </c>
      <c r="G17" s="46">
        <v>43680</v>
      </c>
      <c r="H17" s="38">
        <v>1000</v>
      </c>
      <c r="I17" s="111"/>
      <c r="J17" s="115"/>
      <c r="K17" s="103" t="s">
        <v>2936</v>
      </c>
      <c r="L17" s="116" t="s">
        <v>1982</v>
      </c>
      <c r="M17" s="90"/>
      <c r="N17" s="90"/>
      <c r="O17" s="24" t="s">
        <v>2085</v>
      </c>
      <c r="P17" s="25" t="s">
        <v>2086</v>
      </c>
      <c r="Q17" s="25" t="s">
        <v>2937</v>
      </c>
      <c r="R17" s="92"/>
      <c r="S17" s="35"/>
      <c r="T17" s="92" t="s">
        <v>2938</v>
      </c>
      <c r="U17" s="92" t="s">
        <v>2061</v>
      </c>
      <c r="V17" s="92" t="str">
        <f t="shared" si="4"/>
        <v>园区基础设施其他园区</v>
      </c>
      <c r="W17" s="155"/>
      <c r="X17" s="67"/>
      <c r="Y17" s="35"/>
      <c r="Z17" s="35"/>
      <c r="AA17" s="35"/>
      <c r="AB17" s="35"/>
      <c r="AC17" s="35"/>
      <c r="AD17" s="35"/>
      <c r="AE17" s="35"/>
      <c r="AF17" s="35" t="s">
        <v>205</v>
      </c>
      <c r="AG17" s="35" t="s">
        <v>2140</v>
      </c>
      <c r="AH17" s="179" t="str">
        <f>AF17&amp;Q17</f>
        <v>政府市北部湾华侨投资区管委</v>
      </c>
      <c r="AI17" s="179" t="str">
        <f>AG17&amp;Q17</f>
        <v>民生设施市北部湾华侨投资区管委</v>
      </c>
      <c r="AJ17" s="191">
        <f>IF(I17&gt;0,1,0)</f>
        <v>0</v>
      </c>
      <c r="AK17" s="35"/>
      <c r="AL17" s="35"/>
      <c r="AM17" s="35"/>
      <c r="AN17" s="35"/>
      <c r="AO17" s="217"/>
      <c r="AP17" s="226" t="s">
        <v>1895</v>
      </c>
    </row>
    <row r="18" s="6" customFormat="1" ht="66.75" customHeight="1" spans="1:42">
      <c r="A18" s="23">
        <f>SUBTOTAL(3,C$5:C18)</f>
        <v>14</v>
      </c>
      <c r="B18" s="24" t="s">
        <v>2939</v>
      </c>
      <c r="C18" s="25" t="s">
        <v>79</v>
      </c>
      <c r="D18" s="24" t="s">
        <v>2940</v>
      </c>
      <c r="E18" s="25" t="s">
        <v>112</v>
      </c>
      <c r="F18" s="26">
        <v>2600</v>
      </c>
      <c r="G18" s="46">
        <v>43738</v>
      </c>
      <c r="H18" s="26">
        <v>1500</v>
      </c>
      <c r="I18" s="50"/>
      <c r="J18" s="36"/>
      <c r="K18" s="103" t="s">
        <v>2941</v>
      </c>
      <c r="L18" s="103" t="s">
        <v>2942</v>
      </c>
      <c r="M18" s="90"/>
      <c r="N18" s="90"/>
      <c r="O18" s="24" t="s">
        <v>766</v>
      </c>
      <c r="P18" s="117" t="s">
        <v>2427</v>
      </c>
      <c r="Q18" s="27" t="s">
        <v>185</v>
      </c>
      <c r="R18" s="37"/>
      <c r="S18" s="35"/>
      <c r="T18" s="92" t="s">
        <v>186</v>
      </c>
      <c r="U18" s="92" t="s">
        <v>2061</v>
      </c>
      <c r="V18" s="92" t="str">
        <f t="shared" si="4"/>
        <v>园区基础设施中马园</v>
      </c>
      <c r="W18" s="155"/>
      <c r="X18" s="67"/>
      <c r="Y18" s="35"/>
      <c r="Z18" s="35"/>
      <c r="AA18" s="35"/>
      <c r="AB18" s="35"/>
      <c r="AC18" s="35"/>
      <c r="AD18" s="35"/>
      <c r="AE18" s="35"/>
      <c r="AF18" s="35" t="s">
        <v>205</v>
      </c>
      <c r="AG18" s="35" t="s">
        <v>1980</v>
      </c>
      <c r="AH18" s="179" t="str">
        <f>AF18&amp;Q18</f>
        <v>政府中马钦州产业园区管委</v>
      </c>
      <c r="AI18" s="179" t="str">
        <f>AG18&amp;Q18</f>
        <v>基础设施中马钦州产业园区管委</v>
      </c>
      <c r="AJ18" s="191">
        <f>IF(I18&gt;0,1,0)</f>
        <v>0</v>
      </c>
      <c r="AK18" s="35"/>
      <c r="AL18" s="35"/>
      <c r="AM18" s="35"/>
      <c r="AN18" s="35"/>
      <c r="AO18" s="217"/>
      <c r="AP18" s="226" t="s">
        <v>1895</v>
      </c>
    </row>
    <row r="19" s="4" customFormat="1" ht="61.5" customHeight="1" spans="1:55">
      <c r="A19" s="23">
        <f>SUBTOTAL(3,C$5:C19)</f>
        <v>15</v>
      </c>
      <c r="B19" s="58" t="s">
        <v>2943</v>
      </c>
      <c r="C19" s="59" t="s">
        <v>810</v>
      </c>
      <c r="D19" s="60" t="s">
        <v>1645</v>
      </c>
      <c r="E19" s="59" t="s">
        <v>812</v>
      </c>
      <c r="F19" s="59">
        <v>2099</v>
      </c>
      <c r="G19" s="59">
        <v>1060</v>
      </c>
      <c r="H19" s="61">
        <v>43830</v>
      </c>
      <c r="I19" s="59">
        <v>1039</v>
      </c>
      <c r="J19" s="36"/>
      <c r="K19" s="60" t="s">
        <v>2944</v>
      </c>
      <c r="L19" s="60" t="s">
        <v>117</v>
      </c>
      <c r="M19" s="90"/>
      <c r="N19" s="90"/>
      <c r="O19" s="58" t="s">
        <v>1586</v>
      </c>
      <c r="P19" s="59" t="s">
        <v>2089</v>
      </c>
      <c r="Q19" s="59" t="s">
        <v>375</v>
      </c>
      <c r="R19" s="92"/>
      <c r="S19" s="76"/>
      <c r="T19" s="92" t="s">
        <v>376</v>
      </c>
      <c r="U19" s="92" t="s">
        <v>420</v>
      </c>
      <c r="V19" s="92" t="str">
        <f t="shared" ref="V19:V32" si="14">U19&amp;T19</f>
        <v>能源钦北区</v>
      </c>
      <c r="W19" s="92"/>
      <c r="X19" s="37"/>
      <c r="Y19" s="37"/>
      <c r="Z19" s="67"/>
      <c r="AA19" s="35"/>
      <c r="AB19" s="35"/>
      <c r="AC19" s="35"/>
      <c r="AD19" s="35"/>
      <c r="AE19" s="35"/>
      <c r="AF19" s="35"/>
      <c r="AG19" s="35"/>
      <c r="AH19" s="35"/>
      <c r="AI19" s="199" t="s">
        <v>92</v>
      </c>
      <c r="AJ19" s="199" t="s">
        <v>1980</v>
      </c>
      <c r="AK19" s="197" t="str">
        <f t="shared" si="8"/>
        <v>企业钦北区人民政府</v>
      </c>
      <c r="AL19" s="197" t="str">
        <f t="shared" si="9"/>
        <v>基础设施钦北区人民政府</v>
      </c>
      <c r="AM19" s="200">
        <f t="shared" si="10"/>
        <v>0</v>
      </c>
      <c r="AN19" s="35" t="str">
        <f t="shared" si="11"/>
        <v>能源钦北区1000</v>
      </c>
      <c r="AO19" s="35" t="str">
        <f t="shared" si="12"/>
        <v/>
      </c>
      <c r="AP19" s="35" t="str">
        <f t="shared" si="13"/>
        <v/>
      </c>
      <c r="AQ19" s="181"/>
      <c r="AR19" s="206"/>
      <c r="AS19" s="7"/>
      <c r="AT19" s="7"/>
      <c r="AU19" s="7"/>
      <c r="AV19" s="7"/>
      <c r="AW19" s="7"/>
      <c r="AX19" s="7"/>
      <c r="AY19" s="7"/>
      <c r="AZ19" s="7"/>
      <c r="BA19" s="7"/>
      <c r="BB19" s="7"/>
      <c r="BC19" s="7"/>
    </row>
    <row r="20" s="4" customFormat="1" ht="75.75" customHeight="1" spans="1:55">
      <c r="A20" s="23">
        <f>SUBTOTAL(3,C$5:C20)</f>
        <v>16</v>
      </c>
      <c r="B20" s="58" t="s">
        <v>1591</v>
      </c>
      <c r="C20" s="59" t="s">
        <v>810</v>
      </c>
      <c r="D20" s="60" t="s">
        <v>2945</v>
      </c>
      <c r="E20" s="59" t="s">
        <v>832</v>
      </c>
      <c r="F20" s="59">
        <v>4672</v>
      </c>
      <c r="G20" s="59">
        <v>2900</v>
      </c>
      <c r="H20" s="61">
        <v>43738</v>
      </c>
      <c r="I20" s="59">
        <v>1772</v>
      </c>
      <c r="J20" s="36"/>
      <c r="K20" s="60" t="s">
        <v>2946</v>
      </c>
      <c r="L20" s="60" t="s">
        <v>2947</v>
      </c>
      <c r="M20" s="90"/>
      <c r="N20" s="90"/>
      <c r="O20" s="58" t="s">
        <v>1586</v>
      </c>
      <c r="P20" s="59" t="s">
        <v>2089</v>
      </c>
      <c r="Q20" s="59" t="s">
        <v>185</v>
      </c>
      <c r="R20" s="92"/>
      <c r="S20" s="76"/>
      <c r="T20" s="92" t="s">
        <v>186</v>
      </c>
      <c r="U20" s="92" t="s">
        <v>420</v>
      </c>
      <c r="V20" s="92" t="str">
        <f t="shared" si="14"/>
        <v>能源中马园</v>
      </c>
      <c r="W20" s="92"/>
      <c r="X20" s="37"/>
      <c r="Y20" s="37"/>
      <c r="Z20" s="67"/>
      <c r="AA20" s="35"/>
      <c r="AB20" s="35"/>
      <c r="AC20" s="35"/>
      <c r="AD20" s="35"/>
      <c r="AE20" s="35"/>
      <c r="AF20" s="35"/>
      <c r="AG20" s="35"/>
      <c r="AH20" s="35"/>
      <c r="AI20" s="199" t="s">
        <v>92</v>
      </c>
      <c r="AJ20" s="199" t="s">
        <v>1980</v>
      </c>
      <c r="AK20" s="197" t="str">
        <f t="shared" si="8"/>
        <v>企业中马钦州产业园区管委</v>
      </c>
      <c r="AL20" s="197" t="str">
        <f t="shared" si="9"/>
        <v>基础设施中马钦州产业园区管委</v>
      </c>
      <c r="AM20" s="200">
        <f t="shared" si="10"/>
        <v>0</v>
      </c>
      <c r="AN20" s="35" t="str">
        <f t="shared" si="11"/>
        <v>能源中马园1000</v>
      </c>
      <c r="AO20" s="35" t="str">
        <f t="shared" si="12"/>
        <v/>
      </c>
      <c r="AP20" s="35" t="str">
        <f t="shared" si="13"/>
        <v/>
      </c>
      <c r="AQ20" s="181"/>
      <c r="AR20" s="206"/>
      <c r="AS20" s="7"/>
      <c r="AT20" s="7"/>
      <c r="AU20" s="7"/>
      <c r="AV20" s="7"/>
      <c r="AW20" s="7"/>
      <c r="AX20" s="7"/>
      <c r="AY20" s="7"/>
      <c r="AZ20" s="7"/>
      <c r="BA20" s="7"/>
      <c r="BB20" s="7"/>
      <c r="BC20" s="7"/>
    </row>
    <row r="21" s="4" customFormat="1" ht="63.75" customHeight="1" spans="1:55">
      <c r="A21" s="23">
        <f>SUBTOTAL(3,C$5:C21)</f>
        <v>17</v>
      </c>
      <c r="B21" s="34" t="s">
        <v>2948</v>
      </c>
      <c r="C21" s="35" t="s">
        <v>810</v>
      </c>
      <c r="D21" s="55" t="s">
        <v>2949</v>
      </c>
      <c r="E21" s="35" t="s">
        <v>812</v>
      </c>
      <c r="F21" s="36">
        <v>4701</v>
      </c>
      <c r="G21" s="36">
        <v>500</v>
      </c>
      <c r="H21" s="56">
        <v>43800</v>
      </c>
      <c r="I21" s="36">
        <v>4201</v>
      </c>
      <c r="J21" s="50"/>
      <c r="K21" s="55" t="s">
        <v>2950</v>
      </c>
      <c r="L21" s="90" t="s">
        <v>117</v>
      </c>
      <c r="M21" s="90"/>
      <c r="N21" s="90"/>
      <c r="O21" s="34" t="s">
        <v>1780</v>
      </c>
      <c r="P21" s="25" t="s">
        <v>2137</v>
      </c>
      <c r="Q21" s="35" t="s">
        <v>359</v>
      </c>
      <c r="R21" s="92"/>
      <c r="S21" s="76"/>
      <c r="T21" s="92" t="s">
        <v>2138</v>
      </c>
      <c r="U21" s="92" t="s">
        <v>2139</v>
      </c>
      <c r="V21" s="92" t="str">
        <f t="shared" si="14"/>
        <v>社会事业教育</v>
      </c>
      <c r="W21" s="92"/>
      <c r="X21" s="37"/>
      <c r="Y21" s="37"/>
      <c r="Z21" s="67"/>
      <c r="AA21" s="35"/>
      <c r="AB21" s="35"/>
      <c r="AC21" s="35"/>
      <c r="AD21" s="35"/>
      <c r="AE21" s="35"/>
      <c r="AF21" s="35"/>
      <c r="AG21" s="35"/>
      <c r="AH21" s="35"/>
      <c r="AI21" s="199" t="s">
        <v>205</v>
      </c>
      <c r="AJ21" s="199" t="s">
        <v>2140</v>
      </c>
      <c r="AK21" s="197" t="str">
        <f t="shared" si="8"/>
        <v>政府钦南区人民政府</v>
      </c>
      <c r="AL21" s="197" t="str">
        <f t="shared" si="9"/>
        <v>民生设施钦南区人民政府</v>
      </c>
      <c r="AM21" s="200">
        <f t="shared" si="10"/>
        <v>0</v>
      </c>
      <c r="AN21" s="35" t="str">
        <f t="shared" si="11"/>
        <v>社会事业教育1000</v>
      </c>
      <c r="AO21" s="35" t="str">
        <f t="shared" si="12"/>
        <v>社会事业教育2000</v>
      </c>
      <c r="AP21" s="35" t="str">
        <f t="shared" si="13"/>
        <v/>
      </c>
      <c r="AQ21" s="157"/>
      <c r="AR21" s="206"/>
      <c r="AS21" s="7"/>
      <c r="AT21" s="204"/>
      <c r="AU21" s="227"/>
      <c r="AV21" s="204"/>
      <c r="AW21" s="204"/>
      <c r="AX21" s="204"/>
      <c r="AY21" s="7"/>
      <c r="AZ21" s="7"/>
      <c r="BA21" s="7"/>
      <c r="BB21" s="7"/>
      <c r="BC21" s="7"/>
    </row>
    <row r="22" s="4" customFormat="1" ht="68.25" customHeight="1" spans="1:42">
      <c r="A22" s="23">
        <f>SUBTOTAL(3,C$5:C22)</f>
        <v>18</v>
      </c>
      <c r="B22" s="62" t="s">
        <v>2951</v>
      </c>
      <c r="C22" s="35" t="s">
        <v>79</v>
      </c>
      <c r="D22" s="63" t="s">
        <v>2952</v>
      </c>
      <c r="E22" s="25" t="s">
        <v>81</v>
      </c>
      <c r="F22" s="25">
        <v>8950</v>
      </c>
      <c r="G22" s="46">
        <v>43739</v>
      </c>
      <c r="H22" s="25">
        <v>1500</v>
      </c>
      <c r="I22" s="111"/>
      <c r="J22" s="67"/>
      <c r="K22" s="24" t="s">
        <v>2953</v>
      </c>
      <c r="L22" s="24" t="s">
        <v>117</v>
      </c>
      <c r="M22" s="90"/>
      <c r="N22" s="90"/>
      <c r="O22" s="24" t="s">
        <v>2954</v>
      </c>
      <c r="P22" s="25" t="s">
        <v>2955</v>
      </c>
      <c r="Q22" s="25" t="s">
        <v>317</v>
      </c>
      <c r="R22" s="92"/>
      <c r="S22" s="35"/>
      <c r="T22" s="92" t="s">
        <v>2147</v>
      </c>
      <c r="U22" s="92" t="s">
        <v>2139</v>
      </c>
      <c r="V22" s="92" t="str">
        <f t="shared" si="14"/>
        <v>社会事业卫生</v>
      </c>
      <c r="W22" s="149"/>
      <c r="X22" s="67"/>
      <c r="Y22" s="35"/>
      <c r="Z22" s="35"/>
      <c r="AA22" s="35"/>
      <c r="AB22" s="35"/>
      <c r="AC22" s="35"/>
      <c r="AD22" s="59"/>
      <c r="AE22" s="35"/>
      <c r="AF22" s="35" t="s">
        <v>205</v>
      </c>
      <c r="AG22" s="35" t="s">
        <v>2140</v>
      </c>
      <c r="AH22" s="179" t="str">
        <f t="shared" ref="AH22:AH35" si="15">AF22&amp;Q22</f>
        <v>政府浦北县人民政府</v>
      </c>
      <c r="AI22" s="179" t="str">
        <f t="shared" ref="AI22:AI35" si="16">AG22&amp;Q22</f>
        <v>民生设施浦北县人民政府</v>
      </c>
      <c r="AJ22" s="191"/>
      <c r="AK22" s="35"/>
      <c r="AL22" s="35"/>
      <c r="AM22" s="35"/>
      <c r="AN22" s="59"/>
      <c r="AO22" s="217"/>
      <c r="AP22" s="8"/>
    </row>
    <row r="23" s="4" customFormat="1" ht="66.75" customHeight="1" spans="1:47">
      <c r="A23" s="23">
        <f>SUBTOTAL(3,C$5:C23)</f>
        <v>19</v>
      </c>
      <c r="B23" s="24" t="s">
        <v>1346</v>
      </c>
      <c r="C23" s="35" t="s">
        <v>79</v>
      </c>
      <c r="D23" s="63" t="s">
        <v>2956</v>
      </c>
      <c r="E23" s="25" t="s">
        <v>143</v>
      </c>
      <c r="F23" s="25">
        <v>11000</v>
      </c>
      <c r="G23" s="46">
        <v>43801</v>
      </c>
      <c r="H23" s="25">
        <v>1000</v>
      </c>
      <c r="I23" s="50"/>
      <c r="J23" s="118"/>
      <c r="K23" s="34" t="s">
        <v>132</v>
      </c>
      <c r="L23" s="112" t="s">
        <v>117</v>
      </c>
      <c r="M23" s="90"/>
      <c r="N23" s="90"/>
      <c r="O23" s="24" t="s">
        <v>785</v>
      </c>
      <c r="P23" s="25" t="s">
        <v>2038</v>
      </c>
      <c r="Q23" s="25" t="s">
        <v>317</v>
      </c>
      <c r="R23" s="92"/>
      <c r="S23" s="35"/>
      <c r="T23" s="92" t="s">
        <v>2957</v>
      </c>
      <c r="U23" s="92" t="s">
        <v>2017</v>
      </c>
      <c r="V23" s="92" t="str">
        <f t="shared" si="14"/>
        <v>城市基础设施其他县区</v>
      </c>
      <c r="W23" s="156"/>
      <c r="X23" s="67"/>
      <c r="Y23" s="35"/>
      <c r="Z23" s="35"/>
      <c r="AA23" s="35"/>
      <c r="AB23" s="35"/>
      <c r="AC23" s="35"/>
      <c r="AD23" s="59"/>
      <c r="AE23" s="35"/>
      <c r="AF23" s="35" t="s">
        <v>205</v>
      </c>
      <c r="AG23" s="35" t="s">
        <v>1980</v>
      </c>
      <c r="AH23" s="179" t="str">
        <f t="shared" si="15"/>
        <v>政府浦北县人民政府</v>
      </c>
      <c r="AI23" s="179" t="str">
        <f t="shared" si="16"/>
        <v>基础设施浦北县人民政府</v>
      </c>
      <c r="AJ23" s="191">
        <f>IF(I23&gt;0,1,0)</f>
        <v>0</v>
      </c>
      <c r="AK23" s="35"/>
      <c r="AL23" s="35"/>
      <c r="AM23" s="35"/>
      <c r="AN23" s="59"/>
      <c r="AO23" s="217"/>
      <c r="AP23" s="8"/>
      <c r="AQ23" s="6"/>
      <c r="AR23" s="228"/>
      <c r="AS23" s="229"/>
      <c r="AT23" s="6"/>
      <c r="AU23" s="6"/>
    </row>
    <row r="24" s="4" customFormat="1" ht="60.6" customHeight="1" spans="1:42">
      <c r="A24" s="23">
        <f>SUBTOTAL(3,C$5:C24)</f>
        <v>20</v>
      </c>
      <c r="B24" s="62" t="s">
        <v>2958</v>
      </c>
      <c r="C24" s="35" t="s">
        <v>79</v>
      </c>
      <c r="D24" s="63" t="s">
        <v>2959</v>
      </c>
      <c r="E24" s="25" t="s">
        <v>81</v>
      </c>
      <c r="F24" s="25">
        <v>7758</v>
      </c>
      <c r="G24" s="46">
        <v>43678</v>
      </c>
      <c r="H24" s="25">
        <v>1500</v>
      </c>
      <c r="I24" s="111"/>
      <c r="J24" s="67"/>
      <c r="K24" s="24" t="s">
        <v>2960</v>
      </c>
      <c r="L24" s="24" t="s">
        <v>117</v>
      </c>
      <c r="M24" s="90"/>
      <c r="N24" s="90"/>
      <c r="O24" s="24" t="s">
        <v>2954</v>
      </c>
      <c r="P24" s="25" t="s">
        <v>2955</v>
      </c>
      <c r="Q24" s="25" t="s">
        <v>317</v>
      </c>
      <c r="R24" s="92"/>
      <c r="S24" s="35"/>
      <c r="T24" s="92" t="s">
        <v>2147</v>
      </c>
      <c r="U24" s="92" t="s">
        <v>2139</v>
      </c>
      <c r="V24" s="92" t="str">
        <f t="shared" si="14"/>
        <v>社会事业卫生</v>
      </c>
      <c r="W24" s="149"/>
      <c r="X24" s="67"/>
      <c r="Y24" s="35"/>
      <c r="Z24" s="35"/>
      <c r="AA24" s="35"/>
      <c r="AB24" s="35"/>
      <c r="AC24" s="35"/>
      <c r="AD24" s="59"/>
      <c r="AE24" s="35"/>
      <c r="AF24" s="35" t="s">
        <v>205</v>
      </c>
      <c r="AG24" s="35" t="s">
        <v>2140</v>
      </c>
      <c r="AH24" s="179" t="str">
        <f t="shared" si="15"/>
        <v>政府浦北县人民政府</v>
      </c>
      <c r="AI24" s="179" t="str">
        <f t="shared" si="16"/>
        <v>民生设施浦北县人民政府</v>
      </c>
      <c r="AJ24" s="191"/>
      <c r="AK24" s="35"/>
      <c r="AL24" s="35"/>
      <c r="AM24" s="35"/>
      <c r="AN24" s="59"/>
      <c r="AO24" s="217"/>
      <c r="AP24" s="8"/>
    </row>
    <row r="25" s="4" customFormat="1" ht="49.15" customHeight="1" spans="1:42">
      <c r="A25" s="23">
        <f>SUBTOTAL(3,C$5:C25)</f>
        <v>21</v>
      </c>
      <c r="B25" s="34" t="s">
        <v>2961</v>
      </c>
      <c r="C25" s="35" t="s">
        <v>79</v>
      </c>
      <c r="D25" s="34" t="s">
        <v>2962</v>
      </c>
      <c r="E25" s="35" t="s">
        <v>81</v>
      </c>
      <c r="F25" s="36">
        <v>200000</v>
      </c>
      <c r="G25" s="64">
        <v>43800</v>
      </c>
      <c r="H25" s="36">
        <v>2000</v>
      </c>
      <c r="I25" s="111"/>
      <c r="J25" s="118"/>
      <c r="K25" s="112" t="s">
        <v>2963</v>
      </c>
      <c r="L25" s="112" t="s">
        <v>117</v>
      </c>
      <c r="M25" s="90"/>
      <c r="N25" s="90"/>
      <c r="O25" s="34" t="s">
        <v>2964</v>
      </c>
      <c r="P25" s="35" t="s">
        <v>2965</v>
      </c>
      <c r="Q25" s="35" t="s">
        <v>269</v>
      </c>
      <c r="R25" s="92"/>
      <c r="S25" s="35"/>
      <c r="T25" s="92" t="s">
        <v>2110</v>
      </c>
      <c r="U25" s="92" t="s">
        <v>459</v>
      </c>
      <c r="V25" s="92" t="str">
        <f t="shared" si="14"/>
        <v>服务业商贸流通</v>
      </c>
      <c r="W25" s="37"/>
      <c r="X25" s="67"/>
      <c r="Y25" s="35"/>
      <c r="Z25" s="35"/>
      <c r="AA25" s="35"/>
      <c r="AB25" s="35"/>
      <c r="AC25" s="35"/>
      <c r="AD25" s="23"/>
      <c r="AE25" s="35"/>
      <c r="AF25" s="35" t="s">
        <v>92</v>
      </c>
      <c r="AG25" s="35" t="s">
        <v>1980</v>
      </c>
      <c r="AH25" s="179" t="str">
        <f t="shared" si="15"/>
        <v>企业灵山县人民政府</v>
      </c>
      <c r="AI25" s="179" t="str">
        <f t="shared" si="16"/>
        <v>基础设施灵山县人民政府</v>
      </c>
      <c r="AJ25" s="191">
        <f>IF(I25&gt;0,1,0)</f>
        <v>0</v>
      </c>
      <c r="AK25" s="35"/>
      <c r="AL25" s="35"/>
      <c r="AM25" s="35"/>
      <c r="AN25" s="23"/>
      <c r="AO25" s="217"/>
      <c r="AP25" s="8"/>
    </row>
    <row r="26" s="7" customFormat="1" ht="58.5" customHeight="1" spans="1:42">
      <c r="A26" s="23">
        <f>SUBTOTAL(3,C$5:C26)</f>
        <v>22</v>
      </c>
      <c r="B26" s="34" t="s">
        <v>2966</v>
      </c>
      <c r="C26" s="23" t="s">
        <v>79</v>
      </c>
      <c r="D26" s="34" t="s">
        <v>2967</v>
      </c>
      <c r="E26" s="59" t="s">
        <v>81</v>
      </c>
      <c r="F26" s="38">
        <v>50000</v>
      </c>
      <c r="G26" s="65">
        <v>43800</v>
      </c>
      <c r="H26" s="38">
        <v>1000</v>
      </c>
      <c r="I26" s="111"/>
      <c r="J26" s="67"/>
      <c r="K26" s="112" t="s">
        <v>132</v>
      </c>
      <c r="L26" s="112" t="s">
        <v>117</v>
      </c>
      <c r="M26" s="90"/>
      <c r="N26" s="90"/>
      <c r="O26" s="34" t="s">
        <v>2968</v>
      </c>
      <c r="P26" s="67" t="s">
        <v>2969</v>
      </c>
      <c r="Q26" s="67" t="s">
        <v>119</v>
      </c>
      <c r="R26" s="91" t="s">
        <v>2970</v>
      </c>
      <c r="S26" s="35"/>
      <c r="T26" s="92" t="s">
        <v>90</v>
      </c>
      <c r="U26" s="92" t="s">
        <v>91</v>
      </c>
      <c r="V26" s="92" t="str">
        <f t="shared" si="14"/>
        <v>工业钦州港</v>
      </c>
      <c r="W26" s="37"/>
      <c r="X26" s="67"/>
      <c r="Y26" s="35"/>
      <c r="Z26" s="35"/>
      <c r="AA26" s="35"/>
      <c r="AB26" s="35"/>
      <c r="AC26" s="35"/>
      <c r="AD26" s="59"/>
      <c r="AE26" s="35"/>
      <c r="AF26" s="35" t="s">
        <v>92</v>
      </c>
      <c r="AG26" s="35" t="s">
        <v>93</v>
      </c>
      <c r="AH26" s="179" t="str">
        <f t="shared" si="15"/>
        <v>企业钦州港区管委</v>
      </c>
      <c r="AI26" s="179" t="str">
        <f t="shared" si="16"/>
        <v>产业钦州港区管委</v>
      </c>
      <c r="AJ26" s="191"/>
      <c r="AK26" s="35"/>
      <c r="AL26" s="35"/>
      <c r="AM26" s="35"/>
      <c r="AN26" s="59"/>
      <c r="AO26" s="217"/>
      <c r="AP26" s="199"/>
    </row>
    <row r="27" s="7" customFormat="1" ht="96" customHeight="1" spans="1:42">
      <c r="A27" s="23">
        <f>SUBTOTAL(3,C$5:C27)</f>
        <v>23</v>
      </c>
      <c r="B27" s="34" t="s">
        <v>2971</v>
      </c>
      <c r="C27" s="23" t="s">
        <v>79</v>
      </c>
      <c r="D27" s="34" t="s">
        <v>2972</v>
      </c>
      <c r="E27" s="35" t="s">
        <v>143</v>
      </c>
      <c r="F27" s="38">
        <v>2450000</v>
      </c>
      <c r="G27" s="56">
        <v>43739</v>
      </c>
      <c r="H27" s="38">
        <v>5000</v>
      </c>
      <c r="I27" s="111"/>
      <c r="J27" s="67"/>
      <c r="K27" s="112" t="s">
        <v>2973</v>
      </c>
      <c r="L27" s="112" t="s">
        <v>2974</v>
      </c>
      <c r="M27" s="90"/>
      <c r="N27" s="90"/>
      <c r="O27" s="34" t="s">
        <v>2975</v>
      </c>
      <c r="P27" s="67" t="s">
        <v>2976</v>
      </c>
      <c r="Q27" s="67" t="s">
        <v>119</v>
      </c>
      <c r="R27" s="91"/>
      <c r="S27" s="35"/>
      <c r="T27" s="92" t="s">
        <v>90</v>
      </c>
      <c r="U27" s="92" t="s">
        <v>91</v>
      </c>
      <c r="V27" s="92" t="str">
        <f t="shared" si="14"/>
        <v>工业钦州港</v>
      </c>
      <c r="W27" s="37"/>
      <c r="X27" s="67"/>
      <c r="Y27" s="35"/>
      <c r="Z27" s="35"/>
      <c r="AA27" s="35"/>
      <c r="AB27" s="35"/>
      <c r="AC27" s="35"/>
      <c r="AD27" s="59"/>
      <c r="AE27" s="35"/>
      <c r="AF27" s="35" t="s">
        <v>205</v>
      </c>
      <c r="AG27" s="35" t="s">
        <v>93</v>
      </c>
      <c r="AH27" s="179" t="str">
        <f t="shared" si="15"/>
        <v>政府钦州港区管委</v>
      </c>
      <c r="AI27" s="179" t="str">
        <f t="shared" si="16"/>
        <v>产业钦州港区管委</v>
      </c>
      <c r="AJ27" s="191">
        <f t="shared" ref="AJ27:AJ32" si="17">IF(I27&gt;0,1,0)</f>
        <v>0</v>
      </c>
      <c r="AK27" s="35"/>
      <c r="AL27" s="35"/>
      <c r="AM27" s="35"/>
      <c r="AN27" s="59"/>
      <c r="AO27" s="217"/>
      <c r="AP27" s="199" t="s">
        <v>1937</v>
      </c>
    </row>
    <row r="28" s="4" customFormat="1" ht="60.6" customHeight="1" spans="1:42">
      <c r="A28" s="23">
        <f>SUBTOTAL(3,C$5:C28)</f>
        <v>24</v>
      </c>
      <c r="B28" s="58" t="s">
        <v>2977</v>
      </c>
      <c r="C28" s="23" t="s">
        <v>79</v>
      </c>
      <c r="D28" s="66" t="s">
        <v>2978</v>
      </c>
      <c r="E28" s="23" t="s">
        <v>81</v>
      </c>
      <c r="F28" s="67">
        <v>349454</v>
      </c>
      <c r="G28" s="50">
        <v>43617</v>
      </c>
      <c r="H28" s="67">
        <v>10000</v>
      </c>
      <c r="I28" s="111"/>
      <c r="J28" s="118"/>
      <c r="K28" s="112" t="s">
        <v>2979</v>
      </c>
      <c r="L28" s="112" t="s">
        <v>2980</v>
      </c>
      <c r="M28" s="90"/>
      <c r="N28" s="90"/>
      <c r="O28" s="34" t="s">
        <v>1003</v>
      </c>
      <c r="P28" s="67" t="s">
        <v>2981</v>
      </c>
      <c r="Q28" s="67" t="s">
        <v>119</v>
      </c>
      <c r="R28" s="91"/>
      <c r="S28" s="35"/>
      <c r="T28" s="37" t="s">
        <v>1993</v>
      </c>
      <c r="U28" s="37" t="s">
        <v>1978</v>
      </c>
      <c r="V28" s="92" t="str">
        <f t="shared" si="14"/>
        <v>交通铁路</v>
      </c>
      <c r="W28" s="149"/>
      <c r="X28" s="67"/>
      <c r="Y28" s="35"/>
      <c r="Z28" s="35"/>
      <c r="AA28" s="35"/>
      <c r="AB28" s="35"/>
      <c r="AC28" s="35"/>
      <c r="AD28" s="59"/>
      <c r="AE28" s="35"/>
      <c r="AF28" s="35" t="s">
        <v>205</v>
      </c>
      <c r="AG28" s="35" t="s">
        <v>1980</v>
      </c>
      <c r="AH28" s="179" t="str">
        <f t="shared" si="15"/>
        <v>政府钦州港区管委</v>
      </c>
      <c r="AI28" s="179" t="str">
        <f t="shared" si="16"/>
        <v>基础设施钦州港区管委</v>
      </c>
      <c r="AJ28" s="191">
        <f t="shared" si="17"/>
        <v>0</v>
      </c>
      <c r="AK28" s="35"/>
      <c r="AL28" s="35"/>
      <c r="AM28" s="35"/>
      <c r="AN28" s="59"/>
      <c r="AO28" s="217"/>
      <c r="AP28" s="8"/>
    </row>
    <row r="29" s="4" customFormat="1" ht="48.75" customHeight="1" spans="1:42">
      <c r="A29" s="23">
        <f>SUBTOTAL(3,C$5:C29)</f>
        <v>25</v>
      </c>
      <c r="B29" s="24" t="s">
        <v>2982</v>
      </c>
      <c r="C29" s="25" t="s">
        <v>79</v>
      </c>
      <c r="D29" s="24" t="s">
        <v>2983</v>
      </c>
      <c r="E29" s="25" t="s">
        <v>112</v>
      </c>
      <c r="F29" s="26">
        <v>27688</v>
      </c>
      <c r="G29" s="56">
        <v>43617</v>
      </c>
      <c r="H29" s="38">
        <v>6000</v>
      </c>
      <c r="I29" s="67"/>
      <c r="J29" s="119"/>
      <c r="K29" s="112" t="s">
        <v>2984</v>
      </c>
      <c r="L29" s="103" t="s">
        <v>2985</v>
      </c>
      <c r="M29" s="90"/>
      <c r="N29" s="90"/>
      <c r="O29" s="24" t="s">
        <v>2986</v>
      </c>
      <c r="P29" s="25" t="s">
        <v>2987</v>
      </c>
      <c r="Q29" s="25" t="s">
        <v>1139</v>
      </c>
      <c r="R29" s="91"/>
      <c r="S29" s="35"/>
      <c r="T29" s="37" t="s">
        <v>1993</v>
      </c>
      <c r="U29" s="37" t="s">
        <v>1978</v>
      </c>
      <c r="V29" s="92" t="str">
        <f t="shared" si="14"/>
        <v>交通铁路</v>
      </c>
      <c r="W29" s="149"/>
      <c r="X29" s="67"/>
      <c r="Y29" s="35"/>
      <c r="Z29" s="35"/>
      <c r="AA29" s="35"/>
      <c r="AB29" s="35"/>
      <c r="AC29" s="35"/>
      <c r="AD29" s="59"/>
      <c r="AE29" s="35"/>
      <c r="AF29" s="35" t="s">
        <v>92</v>
      </c>
      <c r="AG29" s="35" t="s">
        <v>1980</v>
      </c>
      <c r="AH29" s="179" t="str">
        <f t="shared" si="15"/>
        <v>企业市铁建办</v>
      </c>
      <c r="AI29" s="179" t="str">
        <f t="shared" si="16"/>
        <v>基础设施市铁建办</v>
      </c>
      <c r="AJ29" s="191">
        <f t="shared" si="17"/>
        <v>0</v>
      </c>
      <c r="AK29" s="35"/>
      <c r="AL29" s="35"/>
      <c r="AM29" s="35"/>
      <c r="AN29" s="59"/>
      <c r="AO29" s="217"/>
      <c r="AP29" s="8"/>
    </row>
    <row r="30" s="6" customFormat="1" ht="60" customHeight="1" spans="1:42">
      <c r="A30" s="23">
        <f>SUBTOTAL(3,C$5:C30)</f>
        <v>26</v>
      </c>
      <c r="B30" s="68" t="s">
        <v>2988</v>
      </c>
      <c r="C30" s="23" t="s">
        <v>79</v>
      </c>
      <c r="D30" s="68" t="s">
        <v>2989</v>
      </c>
      <c r="E30" s="25" t="s">
        <v>112</v>
      </c>
      <c r="F30" s="57">
        <v>16800</v>
      </c>
      <c r="G30" s="69" t="s">
        <v>2990</v>
      </c>
      <c r="H30" s="57">
        <v>2000</v>
      </c>
      <c r="I30" s="57"/>
      <c r="J30" s="111"/>
      <c r="K30" s="103" t="s">
        <v>2991</v>
      </c>
      <c r="L30" s="68" t="s">
        <v>2992</v>
      </c>
      <c r="M30" s="27"/>
      <c r="N30" s="90"/>
      <c r="O30" s="68" t="s">
        <v>2790</v>
      </c>
      <c r="P30" s="27" t="s">
        <v>2993</v>
      </c>
      <c r="Q30" s="27" t="s">
        <v>2790</v>
      </c>
      <c r="R30" s="68" t="s">
        <v>2994</v>
      </c>
      <c r="S30" s="35"/>
      <c r="T30" s="92" t="s">
        <v>90</v>
      </c>
      <c r="U30" s="92" t="s">
        <v>2061</v>
      </c>
      <c r="V30" s="92" t="str">
        <f t="shared" si="14"/>
        <v>园区基础设施钦州港</v>
      </c>
      <c r="W30" s="155"/>
      <c r="X30" s="67"/>
      <c r="Y30" s="35"/>
      <c r="Z30" s="35"/>
      <c r="AA30" s="35"/>
      <c r="AB30" s="35"/>
      <c r="AC30" s="35"/>
      <c r="AD30" s="35"/>
      <c r="AE30" s="35"/>
      <c r="AF30" s="35" t="s">
        <v>205</v>
      </c>
      <c r="AG30" s="35" t="s">
        <v>1980</v>
      </c>
      <c r="AH30" s="179" t="str">
        <f t="shared" si="15"/>
        <v>政府市口岸办</v>
      </c>
      <c r="AI30" s="179" t="str">
        <f t="shared" si="16"/>
        <v>基础设施市口岸办</v>
      </c>
      <c r="AJ30" s="191">
        <f t="shared" si="17"/>
        <v>0</v>
      </c>
      <c r="AK30" s="35"/>
      <c r="AL30" s="35"/>
      <c r="AM30" s="35"/>
      <c r="AN30" s="35"/>
      <c r="AO30" s="217"/>
      <c r="AP30" s="226" t="s">
        <v>1895</v>
      </c>
    </row>
    <row r="31" s="4" customFormat="1" ht="77.25" customHeight="1" spans="1:42">
      <c r="A31" s="23">
        <f>SUBTOTAL(3,C$5:C31)</f>
        <v>27</v>
      </c>
      <c r="B31" s="70" t="s">
        <v>2995</v>
      </c>
      <c r="C31" s="71" t="s">
        <v>79</v>
      </c>
      <c r="D31" s="70" t="s">
        <v>2996</v>
      </c>
      <c r="E31" s="25" t="s">
        <v>112</v>
      </c>
      <c r="F31" s="57">
        <v>14000</v>
      </c>
      <c r="G31" s="69" t="s">
        <v>2997</v>
      </c>
      <c r="H31" s="57">
        <v>4000</v>
      </c>
      <c r="I31" s="111"/>
      <c r="J31" s="118"/>
      <c r="K31" s="70" t="s">
        <v>2998</v>
      </c>
      <c r="L31" s="103" t="s">
        <v>2999</v>
      </c>
      <c r="M31" s="90"/>
      <c r="N31" s="90"/>
      <c r="O31" s="24" t="s">
        <v>3000</v>
      </c>
      <c r="P31" s="25" t="s">
        <v>3001</v>
      </c>
      <c r="Q31" s="25" t="s">
        <v>2785</v>
      </c>
      <c r="R31" s="91"/>
      <c r="S31" s="35"/>
      <c r="T31" s="92" t="s">
        <v>2138</v>
      </c>
      <c r="U31" s="92" t="s">
        <v>2139</v>
      </c>
      <c r="V31" s="92" t="str">
        <f t="shared" si="14"/>
        <v>社会事业教育</v>
      </c>
      <c r="W31" s="156"/>
      <c r="X31" s="67"/>
      <c r="Y31" s="35"/>
      <c r="Z31" s="35"/>
      <c r="AA31" s="35"/>
      <c r="AB31" s="35"/>
      <c r="AC31" s="35"/>
      <c r="AD31" s="180"/>
      <c r="AE31" s="35"/>
      <c r="AF31" s="35" t="s">
        <v>205</v>
      </c>
      <c r="AG31" s="35" t="s">
        <v>2140</v>
      </c>
      <c r="AH31" s="179" t="str">
        <f t="shared" si="15"/>
        <v>政府市人社局</v>
      </c>
      <c r="AI31" s="179" t="str">
        <f t="shared" si="16"/>
        <v>民生设施市人社局</v>
      </c>
      <c r="AJ31" s="191">
        <f t="shared" si="17"/>
        <v>0</v>
      </c>
      <c r="AK31" s="35"/>
      <c r="AL31" s="35"/>
      <c r="AM31" s="35"/>
      <c r="AN31" s="180"/>
      <c r="AO31" s="217"/>
      <c r="AP31" s="8"/>
    </row>
    <row r="32" s="5" customFormat="1" ht="48.75" customHeight="1" spans="1:47">
      <c r="A32" s="23">
        <f>SUBTOTAL(3,C$5:C32)</f>
        <v>28</v>
      </c>
      <c r="B32" s="72" t="s">
        <v>3002</v>
      </c>
      <c r="C32" s="73" t="s">
        <v>79</v>
      </c>
      <c r="D32" s="72" t="s">
        <v>3003</v>
      </c>
      <c r="E32" s="31" t="s">
        <v>112</v>
      </c>
      <c r="F32" s="74">
        <v>9000</v>
      </c>
      <c r="G32" s="75" t="s">
        <v>2990</v>
      </c>
      <c r="H32" s="74">
        <v>2000</v>
      </c>
      <c r="I32" s="104"/>
      <c r="J32" s="105"/>
      <c r="K32" s="120" t="s">
        <v>3004</v>
      </c>
      <c r="L32" s="121" t="s">
        <v>2992</v>
      </c>
      <c r="M32" s="108"/>
      <c r="N32" s="108"/>
      <c r="O32" s="121" t="s">
        <v>2790</v>
      </c>
      <c r="P32" s="122" t="s">
        <v>2993</v>
      </c>
      <c r="Q32" s="122" t="s">
        <v>2790</v>
      </c>
      <c r="R32" s="154" t="s">
        <v>2994</v>
      </c>
      <c r="S32" s="29"/>
      <c r="T32" s="148" t="s">
        <v>2957</v>
      </c>
      <c r="U32" s="148" t="s">
        <v>2017</v>
      </c>
      <c r="V32" s="148" t="str">
        <f t="shared" si="14"/>
        <v>城市基础设施其他县区</v>
      </c>
      <c r="W32" s="150"/>
      <c r="X32" s="105"/>
      <c r="Y32" s="29"/>
      <c r="Z32" s="29"/>
      <c r="AA32" s="29"/>
      <c r="AB32" s="29"/>
      <c r="AC32" s="29"/>
      <c r="AD32" s="114"/>
      <c r="AE32" s="29"/>
      <c r="AF32" s="29" t="s">
        <v>205</v>
      </c>
      <c r="AG32" s="29" t="s">
        <v>1980</v>
      </c>
      <c r="AH32" s="192" t="str">
        <f t="shared" si="15"/>
        <v>政府市口岸办</v>
      </c>
      <c r="AI32" s="192" t="str">
        <f t="shared" si="16"/>
        <v>基础设施市口岸办</v>
      </c>
      <c r="AJ32" s="193">
        <f t="shared" si="17"/>
        <v>0</v>
      </c>
      <c r="AK32" s="29"/>
      <c r="AL32" s="29"/>
      <c r="AM32" s="29"/>
      <c r="AN32" s="114"/>
      <c r="AO32" s="218"/>
      <c r="AP32" s="219"/>
      <c r="AQ32" s="221"/>
      <c r="AR32" s="223"/>
      <c r="AS32" s="221"/>
      <c r="AT32" s="221"/>
      <c r="AU32" s="221"/>
    </row>
    <row r="33" s="4" customFormat="1" ht="73.5" customHeight="1" spans="1:41">
      <c r="A33" s="23">
        <f>SUBTOTAL(3,C$5:C33)</f>
        <v>29</v>
      </c>
      <c r="B33" s="58" t="s">
        <v>3005</v>
      </c>
      <c r="C33" s="23" t="s">
        <v>79</v>
      </c>
      <c r="D33" s="66" t="s">
        <v>3006</v>
      </c>
      <c r="E33" s="23" t="s">
        <v>81</v>
      </c>
      <c r="F33" s="67">
        <v>44818.52</v>
      </c>
      <c r="G33" s="50">
        <v>43770</v>
      </c>
      <c r="H33" s="67">
        <v>1000</v>
      </c>
      <c r="I33" s="67"/>
      <c r="J33" s="67"/>
      <c r="K33" s="112" t="s">
        <v>3007</v>
      </c>
      <c r="L33" s="112" t="s">
        <v>3008</v>
      </c>
      <c r="M33" s="90"/>
      <c r="N33" s="90"/>
      <c r="O33" s="34" t="s">
        <v>455</v>
      </c>
      <c r="P33" s="67" t="s">
        <v>3009</v>
      </c>
      <c r="Q33" s="67" t="s">
        <v>3010</v>
      </c>
      <c r="R33" s="91" t="s">
        <v>3011</v>
      </c>
      <c r="S33" s="157"/>
      <c r="T33" s="158" t="s">
        <v>2016</v>
      </c>
      <c r="U33" s="158" t="s">
        <v>2017</v>
      </c>
      <c r="V33" s="158" t="str">
        <f t="shared" ref="V33:V38" si="18">U33&amp;T33</f>
        <v>城市基础设施生态环保</v>
      </c>
      <c r="W33" s="159"/>
      <c r="X33" s="160"/>
      <c r="Y33" s="157"/>
      <c r="Z33" s="157"/>
      <c r="AA33" s="157"/>
      <c r="AB33" s="157"/>
      <c r="AC33" s="157"/>
      <c r="AD33" s="181"/>
      <c r="AE33" s="157"/>
      <c r="AF33" s="157" t="s">
        <v>205</v>
      </c>
      <c r="AG33" s="157" t="s">
        <v>2140</v>
      </c>
      <c r="AH33" s="201" t="str">
        <f t="shared" si="15"/>
        <v>政府市市政管理局</v>
      </c>
      <c r="AI33" s="201" t="str">
        <f t="shared" si="16"/>
        <v>民生设施市市政管理局</v>
      </c>
      <c r="AJ33" s="185"/>
      <c r="AK33" s="157"/>
      <c r="AL33" s="157"/>
      <c r="AM33" s="157"/>
      <c r="AN33" s="181"/>
      <c r="AO33" s="206"/>
    </row>
    <row r="34" s="4" customFormat="1" ht="81" customHeight="1" spans="1:42">
      <c r="A34" s="23">
        <f>SUBTOTAL(3,C$5:C34)</f>
        <v>30</v>
      </c>
      <c r="B34" s="34" t="s">
        <v>3012</v>
      </c>
      <c r="C34" s="76" t="s">
        <v>79</v>
      </c>
      <c r="D34" s="34" t="s">
        <v>3013</v>
      </c>
      <c r="E34" s="77" t="s">
        <v>143</v>
      </c>
      <c r="F34" s="38">
        <v>80235.55</v>
      </c>
      <c r="G34" s="56">
        <v>43800</v>
      </c>
      <c r="H34" s="76">
        <v>1000</v>
      </c>
      <c r="I34" s="67"/>
      <c r="J34" s="67"/>
      <c r="K34" s="112" t="s">
        <v>3014</v>
      </c>
      <c r="L34" s="112" t="s">
        <v>3015</v>
      </c>
      <c r="M34" s="90"/>
      <c r="N34" s="90"/>
      <c r="O34" s="34" t="s">
        <v>1040</v>
      </c>
      <c r="P34" s="35" t="s">
        <v>2027</v>
      </c>
      <c r="Q34" s="35" t="s">
        <v>498</v>
      </c>
      <c r="R34" s="91" t="s">
        <v>3016</v>
      </c>
      <c r="S34" s="157"/>
      <c r="T34" s="158" t="s">
        <v>2020</v>
      </c>
      <c r="U34" s="158" t="s">
        <v>2017</v>
      </c>
      <c r="V34" s="158" t="str">
        <f t="shared" si="18"/>
        <v>城市基础设施路网工程</v>
      </c>
      <c r="W34" s="159"/>
      <c r="X34" s="160"/>
      <c r="Y34" s="157"/>
      <c r="Z34" s="157"/>
      <c r="AA34" s="157"/>
      <c r="AB34" s="157"/>
      <c r="AC34" s="157"/>
      <c r="AD34" s="181"/>
      <c r="AE34" s="157"/>
      <c r="AF34" s="157" t="s">
        <v>205</v>
      </c>
      <c r="AG34" s="157" t="s">
        <v>1980</v>
      </c>
      <c r="AH34" s="201" t="str">
        <f t="shared" si="15"/>
        <v>政府市滨海新城管委</v>
      </c>
      <c r="AI34" s="201" t="str">
        <f t="shared" si="16"/>
        <v>基础设施市滨海新城管委</v>
      </c>
      <c r="AJ34" s="185">
        <f>IF(I34&gt;0,1,0)</f>
        <v>0</v>
      </c>
      <c r="AK34" s="157"/>
      <c r="AL34" s="157"/>
      <c r="AM34" s="157"/>
      <c r="AN34" s="181"/>
      <c r="AO34" s="206"/>
      <c r="AP34" s="4" t="s">
        <v>1937</v>
      </c>
    </row>
    <row r="35" s="4" customFormat="1" ht="76.5" customHeight="1" spans="1:41">
      <c r="A35" s="23">
        <f>SUBTOTAL(3,C$5:C35)</f>
        <v>31</v>
      </c>
      <c r="B35" s="24" t="s">
        <v>3017</v>
      </c>
      <c r="C35" s="25" t="s">
        <v>79</v>
      </c>
      <c r="D35" s="66" t="s">
        <v>3018</v>
      </c>
      <c r="E35" s="25" t="s">
        <v>143</v>
      </c>
      <c r="F35" s="57">
        <v>60000</v>
      </c>
      <c r="G35" s="46">
        <v>43466</v>
      </c>
      <c r="H35" s="57">
        <v>12000</v>
      </c>
      <c r="I35" s="111"/>
      <c r="J35" s="67"/>
      <c r="K35" s="103" t="s">
        <v>3019</v>
      </c>
      <c r="L35" s="103" t="s">
        <v>3020</v>
      </c>
      <c r="M35" s="90"/>
      <c r="N35" s="90"/>
      <c r="O35" s="24" t="s">
        <v>3021</v>
      </c>
      <c r="P35" s="67" t="s">
        <v>3022</v>
      </c>
      <c r="Q35" s="25" t="s">
        <v>490</v>
      </c>
      <c r="R35" s="91" t="s">
        <v>3023</v>
      </c>
      <c r="S35" s="157"/>
      <c r="T35" s="158" t="s">
        <v>2121</v>
      </c>
      <c r="U35" s="158" t="s">
        <v>459</v>
      </c>
      <c r="V35" s="158" t="str">
        <f t="shared" si="18"/>
        <v>服务业旅游</v>
      </c>
      <c r="W35" s="159"/>
      <c r="X35" s="160"/>
      <c r="Y35" s="157"/>
      <c r="Z35" s="157"/>
      <c r="AA35" s="157"/>
      <c r="AB35" s="157"/>
      <c r="AC35" s="157"/>
      <c r="AD35" s="181"/>
      <c r="AE35" s="157"/>
      <c r="AF35" s="157" t="s">
        <v>92</v>
      </c>
      <c r="AG35" s="157" t="s">
        <v>1980</v>
      </c>
      <c r="AH35" s="201" t="str">
        <f t="shared" si="15"/>
        <v>企业三娘湾管理区管委</v>
      </c>
      <c r="AI35" s="201" t="str">
        <f t="shared" si="16"/>
        <v>基础设施三娘湾管理区管委</v>
      </c>
      <c r="AJ35" s="185">
        <f>IF(I35&gt;0,1,0)</f>
        <v>0</v>
      </c>
      <c r="AK35" s="157"/>
      <c r="AL35" s="157"/>
      <c r="AM35" s="157"/>
      <c r="AN35" s="181"/>
      <c r="AO35" s="206"/>
    </row>
    <row r="36" s="4" customFormat="1" ht="84.75" customHeight="1" spans="1:56">
      <c r="A36" s="23">
        <f>SUBTOTAL(3,C$5:C36)</f>
        <v>32</v>
      </c>
      <c r="B36" s="34" t="s">
        <v>3024</v>
      </c>
      <c r="C36" s="35" t="s">
        <v>562</v>
      </c>
      <c r="D36" s="55" t="s">
        <v>3025</v>
      </c>
      <c r="E36" s="23" t="s">
        <v>588</v>
      </c>
      <c r="F36" s="67">
        <v>54343</v>
      </c>
      <c r="G36" s="38">
        <v>17897</v>
      </c>
      <c r="H36" s="54" t="s">
        <v>3026</v>
      </c>
      <c r="I36" s="38">
        <v>5000</v>
      </c>
      <c r="J36" s="111"/>
      <c r="K36" s="112" t="s">
        <v>3027</v>
      </c>
      <c r="L36" s="112" t="s">
        <v>3028</v>
      </c>
      <c r="M36" s="90"/>
      <c r="N36" s="90"/>
      <c r="O36" s="34" t="s">
        <v>455</v>
      </c>
      <c r="P36" s="35" t="s">
        <v>3029</v>
      </c>
      <c r="Q36" s="67" t="s">
        <v>3030</v>
      </c>
      <c r="R36" s="29" t="s">
        <v>3031</v>
      </c>
      <c r="S36" s="157"/>
      <c r="T36" s="158" t="s">
        <v>2020</v>
      </c>
      <c r="U36" s="158" t="s">
        <v>2017</v>
      </c>
      <c r="V36" s="158" t="str">
        <f t="shared" si="18"/>
        <v>城市基础设施路网工程</v>
      </c>
      <c r="W36" s="158"/>
      <c r="X36" s="161"/>
      <c r="Y36" s="161"/>
      <c r="Z36" s="160"/>
      <c r="AA36" s="157"/>
      <c r="AB36" s="157"/>
      <c r="AC36" s="157"/>
      <c r="AD36" s="157"/>
      <c r="AE36" s="157"/>
      <c r="AF36" s="157"/>
      <c r="AG36" s="157"/>
      <c r="AH36" s="157"/>
      <c r="AI36" s="202" t="s">
        <v>205</v>
      </c>
      <c r="AJ36" s="203" t="s">
        <v>1980</v>
      </c>
      <c r="AK36" s="201" t="str">
        <f t="shared" ref="AK36:AK41" si="19">AI36&amp;Q36</f>
        <v>政府市住建委、钦南区人民政府</v>
      </c>
      <c r="AL36" s="201" t="str">
        <f t="shared" ref="AL36:AL41" si="20">AJ36&amp;Q36</f>
        <v>基础设施市住建委、钦南区人民政府</v>
      </c>
      <c r="AM36" s="204">
        <f t="shared" ref="AM36:AM41" si="21">IF(J36&gt;0,1,0)</f>
        <v>0</v>
      </c>
      <c r="AN36" s="157" t="str">
        <f t="shared" ref="AN36:AN41" si="22">IF(I36&lt;1000,"",V36&amp;"1000")</f>
        <v>城市基础设施路网工程1000</v>
      </c>
      <c r="AO36" s="157" t="str">
        <f t="shared" ref="AO36:AO41" si="23">IF(I36&lt;2000,"",V36&amp;"2000")</f>
        <v>城市基础设施路网工程2000</v>
      </c>
      <c r="AP36" s="157" t="str">
        <f t="shared" ref="AP36:AP41" si="24">IF(I36&lt;5000,"",V36&amp;"5000")</f>
        <v>城市基础设施路网工程5000</v>
      </c>
      <c r="AQ36" s="181"/>
      <c r="AR36" s="206"/>
      <c r="AS36" s="7"/>
      <c r="AT36" s="7"/>
      <c r="AU36" s="7"/>
      <c r="AV36" s="7"/>
      <c r="AW36" s="7"/>
      <c r="AX36" s="7"/>
      <c r="AY36" s="7"/>
      <c r="AZ36" s="7"/>
      <c r="BA36" s="7"/>
      <c r="BB36" s="7"/>
      <c r="BC36" s="7"/>
      <c r="BD36" s="7"/>
    </row>
    <row r="37" s="4" customFormat="1" ht="73.5" customHeight="1" spans="1:56">
      <c r="A37" s="23">
        <f>SUBTOTAL(3,C$5:C37)</f>
        <v>33</v>
      </c>
      <c r="B37" s="34" t="s">
        <v>3032</v>
      </c>
      <c r="C37" s="23" t="s">
        <v>562</v>
      </c>
      <c r="D37" s="60" t="s">
        <v>3033</v>
      </c>
      <c r="E37" s="23" t="s">
        <v>627</v>
      </c>
      <c r="F37" s="67">
        <v>47058</v>
      </c>
      <c r="G37" s="38">
        <v>40651</v>
      </c>
      <c r="H37" s="55" t="s">
        <v>3034</v>
      </c>
      <c r="I37" s="38">
        <v>3200</v>
      </c>
      <c r="J37" s="111"/>
      <c r="K37" s="112" t="s">
        <v>3035</v>
      </c>
      <c r="L37" s="112" t="s">
        <v>3036</v>
      </c>
      <c r="M37" s="90"/>
      <c r="N37" s="90"/>
      <c r="O37" s="123" t="s">
        <v>455</v>
      </c>
      <c r="P37" s="67" t="s">
        <v>3037</v>
      </c>
      <c r="Q37" s="67" t="s">
        <v>3030</v>
      </c>
      <c r="R37" s="29" t="s">
        <v>3038</v>
      </c>
      <c r="S37" s="157"/>
      <c r="T37" s="158" t="s">
        <v>2020</v>
      </c>
      <c r="U37" s="158" t="s">
        <v>2017</v>
      </c>
      <c r="V37" s="158" t="str">
        <f t="shared" si="18"/>
        <v>城市基础设施路网工程</v>
      </c>
      <c r="W37" s="158"/>
      <c r="X37" s="161"/>
      <c r="Y37" s="161"/>
      <c r="Z37" s="160"/>
      <c r="AA37" s="157"/>
      <c r="AB37" s="157"/>
      <c r="AC37" s="157"/>
      <c r="AD37" s="157"/>
      <c r="AE37" s="157"/>
      <c r="AF37" s="157"/>
      <c r="AG37" s="157"/>
      <c r="AH37" s="157"/>
      <c r="AI37" s="202" t="s">
        <v>205</v>
      </c>
      <c r="AJ37" s="203" t="s">
        <v>1980</v>
      </c>
      <c r="AK37" s="201" t="str">
        <f t="shared" si="19"/>
        <v>政府市住建委、钦南区人民政府</v>
      </c>
      <c r="AL37" s="201" t="str">
        <f t="shared" si="20"/>
        <v>基础设施市住建委、钦南区人民政府</v>
      </c>
      <c r="AM37" s="204">
        <f t="shared" si="21"/>
        <v>0</v>
      </c>
      <c r="AN37" s="157" t="str">
        <f t="shared" si="22"/>
        <v>城市基础设施路网工程1000</v>
      </c>
      <c r="AO37" s="157" t="str">
        <f t="shared" si="23"/>
        <v>城市基础设施路网工程2000</v>
      </c>
      <c r="AP37" s="157" t="str">
        <f t="shared" si="24"/>
        <v/>
      </c>
      <c r="AQ37" s="181"/>
      <c r="AR37" s="206"/>
      <c r="AS37" s="7"/>
      <c r="AT37" s="7"/>
      <c r="AU37" s="7"/>
      <c r="AV37" s="7"/>
      <c r="AW37" s="7"/>
      <c r="AX37" s="7"/>
      <c r="AY37" s="7"/>
      <c r="AZ37" s="7"/>
      <c r="BA37" s="7"/>
      <c r="BB37" s="7"/>
      <c r="BC37" s="7"/>
      <c r="BD37" s="7"/>
    </row>
    <row r="38" s="4" customFormat="1" ht="72.75" customHeight="1" spans="1:56">
      <c r="A38" s="23">
        <f>SUBTOTAL(3,C$5:C38)</f>
        <v>34</v>
      </c>
      <c r="B38" s="34" t="s">
        <v>3039</v>
      </c>
      <c r="C38" s="34" t="s">
        <v>562</v>
      </c>
      <c r="D38" s="60" t="s">
        <v>3040</v>
      </c>
      <c r="E38" s="23" t="s">
        <v>564</v>
      </c>
      <c r="F38" s="67">
        <v>11602.91</v>
      </c>
      <c r="G38" s="38">
        <v>807</v>
      </c>
      <c r="H38" s="54" t="s">
        <v>3041</v>
      </c>
      <c r="I38" s="38">
        <v>3000</v>
      </c>
      <c r="J38" s="111"/>
      <c r="K38" s="112" t="s">
        <v>3042</v>
      </c>
      <c r="L38" s="124" t="s">
        <v>3043</v>
      </c>
      <c r="M38" s="90"/>
      <c r="N38" s="90"/>
      <c r="O38" s="34" t="s">
        <v>455</v>
      </c>
      <c r="P38" s="35" t="s">
        <v>2636</v>
      </c>
      <c r="Q38" s="67" t="s">
        <v>3044</v>
      </c>
      <c r="R38" s="29" t="s">
        <v>3031</v>
      </c>
      <c r="S38" s="157"/>
      <c r="T38" s="158" t="s">
        <v>2020</v>
      </c>
      <c r="U38" s="158" t="s">
        <v>2017</v>
      </c>
      <c r="V38" s="158" t="str">
        <f t="shared" si="18"/>
        <v>城市基础设施路网工程</v>
      </c>
      <c r="W38" s="158"/>
      <c r="X38" s="157"/>
      <c r="Y38" s="159"/>
      <c r="Z38" s="160"/>
      <c r="AA38" s="157"/>
      <c r="AB38" s="157"/>
      <c r="AC38" s="157"/>
      <c r="AD38" s="157"/>
      <c r="AE38" s="157"/>
      <c r="AF38" s="157"/>
      <c r="AG38" s="157"/>
      <c r="AH38" s="157"/>
      <c r="AI38" s="202" t="s">
        <v>205</v>
      </c>
      <c r="AJ38" s="203" t="s">
        <v>1980</v>
      </c>
      <c r="AK38" s="201" t="str">
        <f t="shared" si="19"/>
        <v>政府市住建委、钦北区人民政府</v>
      </c>
      <c r="AL38" s="201" t="str">
        <f t="shared" si="20"/>
        <v>基础设施市住建委、钦北区人民政府</v>
      </c>
      <c r="AM38" s="204">
        <f t="shared" si="21"/>
        <v>0</v>
      </c>
      <c r="AN38" s="157" t="str">
        <f t="shared" si="22"/>
        <v>城市基础设施路网工程1000</v>
      </c>
      <c r="AO38" s="157" t="str">
        <f t="shared" si="23"/>
        <v>城市基础设施路网工程2000</v>
      </c>
      <c r="AP38" s="157" t="str">
        <f t="shared" si="24"/>
        <v/>
      </c>
      <c r="AQ38" s="181"/>
      <c r="AR38" s="206"/>
      <c r="AS38" s="7"/>
      <c r="AT38" s="7"/>
      <c r="AU38" s="7"/>
      <c r="AV38" s="7"/>
      <c r="AW38" s="7"/>
      <c r="AX38" s="7"/>
      <c r="AY38" s="7"/>
      <c r="AZ38" s="7"/>
      <c r="BA38" s="7"/>
      <c r="BB38" s="7"/>
      <c r="BC38" s="7"/>
      <c r="BD38" s="7"/>
    </row>
    <row r="39" s="4" customFormat="1" ht="62.25" customHeight="1" spans="1:55">
      <c r="A39" s="23">
        <f>SUBTOTAL(3,C$5:C39)</f>
        <v>35</v>
      </c>
      <c r="B39" s="58" t="s">
        <v>1638</v>
      </c>
      <c r="C39" s="59" t="s">
        <v>810</v>
      </c>
      <c r="D39" s="60" t="s">
        <v>3045</v>
      </c>
      <c r="E39" s="59" t="s">
        <v>1606</v>
      </c>
      <c r="F39" s="59">
        <v>6796</v>
      </c>
      <c r="G39" s="59">
        <v>6200</v>
      </c>
      <c r="H39" s="61">
        <v>43738</v>
      </c>
      <c r="I39" s="59">
        <v>596</v>
      </c>
      <c r="J39" s="36"/>
      <c r="K39" s="60" t="s">
        <v>3046</v>
      </c>
      <c r="L39" s="60" t="s">
        <v>2654</v>
      </c>
      <c r="M39" s="90"/>
      <c r="N39" s="90"/>
      <c r="O39" s="58" t="s">
        <v>1586</v>
      </c>
      <c r="P39" s="59" t="s">
        <v>2089</v>
      </c>
      <c r="Q39" s="59" t="s">
        <v>359</v>
      </c>
      <c r="R39" s="92" t="s">
        <v>3047</v>
      </c>
      <c r="S39" s="162"/>
      <c r="T39" s="158" t="s">
        <v>2042</v>
      </c>
      <c r="U39" s="158" t="s">
        <v>2017</v>
      </c>
      <c r="V39" s="158" t="str">
        <f t="shared" ref="V39:V49" si="25">U39&amp;T39</f>
        <v>城市基础设施供电工程</v>
      </c>
      <c r="W39" s="158"/>
      <c r="X39" s="161"/>
      <c r="Y39" s="161"/>
      <c r="Z39" s="160"/>
      <c r="AA39" s="157"/>
      <c r="AB39" s="157"/>
      <c r="AC39" s="157"/>
      <c r="AD39" s="157"/>
      <c r="AE39" s="157"/>
      <c r="AF39" s="157"/>
      <c r="AG39" s="157"/>
      <c r="AH39" s="157"/>
      <c r="AI39" s="7" t="s">
        <v>92</v>
      </c>
      <c r="AJ39" s="7" t="s">
        <v>1980</v>
      </c>
      <c r="AK39" s="204" t="str">
        <f t="shared" si="19"/>
        <v>企业钦南区人民政府</v>
      </c>
      <c r="AL39" s="204" t="str">
        <f t="shared" si="20"/>
        <v>基础设施钦南区人民政府</v>
      </c>
      <c r="AM39" s="205">
        <f t="shared" si="21"/>
        <v>0</v>
      </c>
      <c r="AN39" s="157" t="str">
        <f t="shared" si="22"/>
        <v/>
      </c>
      <c r="AO39" s="157" t="str">
        <f t="shared" si="23"/>
        <v/>
      </c>
      <c r="AP39" s="157" t="str">
        <f t="shared" si="24"/>
        <v/>
      </c>
      <c r="AQ39" s="181"/>
      <c r="AR39" s="206"/>
      <c r="AS39" s="7"/>
      <c r="AT39" s="7"/>
      <c r="AU39" s="7"/>
      <c r="AV39" s="7"/>
      <c r="AW39" s="7"/>
      <c r="AX39" s="7"/>
      <c r="AY39" s="7"/>
      <c r="AZ39" s="7"/>
      <c r="BA39" s="7"/>
      <c r="BB39" s="7"/>
      <c r="BC39" s="7"/>
    </row>
    <row r="40" s="4" customFormat="1" ht="95.25" customHeight="1" spans="1:56">
      <c r="A40" s="23">
        <f>SUBTOTAL(3,C$5:C40)</f>
        <v>36</v>
      </c>
      <c r="B40" s="34" t="s">
        <v>3048</v>
      </c>
      <c r="C40" s="35" t="s">
        <v>562</v>
      </c>
      <c r="D40" s="55" t="s">
        <v>3049</v>
      </c>
      <c r="E40" s="35" t="s">
        <v>575</v>
      </c>
      <c r="F40" s="36">
        <v>48000</v>
      </c>
      <c r="G40" s="36">
        <v>6576</v>
      </c>
      <c r="H40" s="54" t="s">
        <v>3050</v>
      </c>
      <c r="I40" s="36">
        <v>10000</v>
      </c>
      <c r="J40" s="111"/>
      <c r="K40" s="125" t="s">
        <v>3051</v>
      </c>
      <c r="L40" s="112" t="s">
        <v>3052</v>
      </c>
      <c r="M40" s="90"/>
      <c r="N40" s="90"/>
      <c r="O40" s="34" t="s">
        <v>2311</v>
      </c>
      <c r="P40" s="35" t="s">
        <v>2009</v>
      </c>
      <c r="Q40" s="35" t="s">
        <v>269</v>
      </c>
      <c r="R40" s="92" t="s">
        <v>3053</v>
      </c>
      <c r="S40" s="157"/>
      <c r="T40" s="158" t="s">
        <v>1997</v>
      </c>
      <c r="U40" s="158" t="s">
        <v>1978</v>
      </c>
      <c r="V40" s="158" t="str">
        <f t="shared" si="25"/>
        <v>交通公路</v>
      </c>
      <c r="W40" s="158"/>
      <c r="X40" s="161"/>
      <c r="Y40" s="161"/>
      <c r="Z40" s="160"/>
      <c r="AA40" s="157"/>
      <c r="AB40" s="157"/>
      <c r="AC40" s="157"/>
      <c r="AD40" s="157"/>
      <c r="AE40" s="157"/>
      <c r="AF40" s="157"/>
      <c r="AG40" s="157"/>
      <c r="AH40" s="157"/>
      <c r="AI40" s="202" t="s">
        <v>92</v>
      </c>
      <c r="AJ40" s="203" t="s">
        <v>1980</v>
      </c>
      <c r="AK40" s="201" t="str">
        <f t="shared" si="19"/>
        <v>企业灵山县人民政府</v>
      </c>
      <c r="AL40" s="201" t="str">
        <f t="shared" si="20"/>
        <v>基础设施灵山县人民政府</v>
      </c>
      <c r="AM40" s="204">
        <f t="shared" si="21"/>
        <v>0</v>
      </c>
      <c r="AN40" s="157" t="str">
        <f t="shared" si="22"/>
        <v>交通公路1000</v>
      </c>
      <c r="AO40" s="157" t="str">
        <f t="shared" si="23"/>
        <v>交通公路2000</v>
      </c>
      <c r="AP40" s="157" t="str">
        <f t="shared" si="24"/>
        <v>交通公路5000</v>
      </c>
      <c r="AQ40" s="181"/>
      <c r="AR40" s="206"/>
      <c r="AS40" s="7"/>
      <c r="AT40" s="7"/>
      <c r="AU40" s="7"/>
      <c r="AV40" s="7"/>
      <c r="AW40" s="7"/>
      <c r="AX40" s="7"/>
      <c r="AY40" s="7"/>
      <c r="AZ40" s="7"/>
      <c r="BA40" s="7"/>
      <c r="BB40" s="7"/>
      <c r="BC40" s="7"/>
      <c r="BD40" s="7"/>
    </row>
    <row r="41" s="4" customFormat="1" ht="96" customHeight="1" spans="1:55">
      <c r="A41" s="23">
        <f>SUBTOTAL(3,C$5:C41)</f>
        <v>37</v>
      </c>
      <c r="B41" s="58" t="s">
        <v>3054</v>
      </c>
      <c r="C41" s="35" t="s">
        <v>810</v>
      </c>
      <c r="D41" s="60" t="s">
        <v>1224</v>
      </c>
      <c r="E41" s="23" t="s">
        <v>827</v>
      </c>
      <c r="F41" s="67">
        <v>7316</v>
      </c>
      <c r="G41" s="36">
        <v>6116</v>
      </c>
      <c r="H41" s="56">
        <v>43801</v>
      </c>
      <c r="I41" s="36">
        <v>1200</v>
      </c>
      <c r="J41" s="50"/>
      <c r="K41" s="126" t="s">
        <v>3055</v>
      </c>
      <c r="L41" s="90" t="s">
        <v>117</v>
      </c>
      <c r="M41" s="90"/>
      <c r="N41" s="90"/>
      <c r="O41" s="123" t="s">
        <v>1215</v>
      </c>
      <c r="P41" s="67" t="s">
        <v>2319</v>
      </c>
      <c r="Q41" s="35" t="s">
        <v>375</v>
      </c>
      <c r="R41" s="92" t="s">
        <v>3056</v>
      </c>
      <c r="S41" s="162"/>
      <c r="T41" s="158" t="s">
        <v>1997</v>
      </c>
      <c r="U41" s="158" t="s">
        <v>1978</v>
      </c>
      <c r="V41" s="158" t="str">
        <f t="shared" si="25"/>
        <v>交通公路</v>
      </c>
      <c r="W41" s="158"/>
      <c r="X41" s="161"/>
      <c r="Y41" s="161"/>
      <c r="Z41" s="160"/>
      <c r="AA41" s="157"/>
      <c r="AB41" s="157"/>
      <c r="AC41" s="157"/>
      <c r="AD41" s="157"/>
      <c r="AE41" s="157"/>
      <c r="AF41" s="157"/>
      <c r="AG41" s="157"/>
      <c r="AH41" s="157"/>
      <c r="AI41" s="7" t="s">
        <v>205</v>
      </c>
      <c r="AJ41" s="7" t="s">
        <v>1980</v>
      </c>
      <c r="AK41" s="204" t="str">
        <f t="shared" si="19"/>
        <v>政府钦北区人民政府</v>
      </c>
      <c r="AL41" s="204" t="str">
        <f t="shared" si="20"/>
        <v>基础设施钦北区人民政府</v>
      </c>
      <c r="AM41" s="205">
        <f t="shared" si="21"/>
        <v>0</v>
      </c>
      <c r="AN41" s="157" t="str">
        <f t="shared" si="22"/>
        <v>交通公路1000</v>
      </c>
      <c r="AO41" s="157" t="str">
        <f t="shared" si="23"/>
        <v/>
      </c>
      <c r="AP41" s="157" t="str">
        <f t="shared" si="24"/>
        <v/>
      </c>
      <c r="AQ41" s="181"/>
      <c r="AR41" s="206"/>
      <c r="AS41" s="7"/>
      <c r="AT41" s="206"/>
      <c r="AU41" s="225"/>
      <c r="AV41" s="206"/>
      <c r="AW41" s="206"/>
      <c r="AX41" s="206"/>
      <c r="AY41" s="7"/>
      <c r="AZ41" s="7"/>
      <c r="BA41" s="7"/>
      <c r="BB41" s="7"/>
      <c r="BC41" s="7"/>
    </row>
    <row r="42" s="8" customFormat="1" ht="77.25" customHeight="1" spans="1:41">
      <c r="A42" s="23">
        <f>SUBTOTAL(3,C$5:C42)</f>
        <v>38</v>
      </c>
      <c r="B42" s="34" t="s">
        <v>3057</v>
      </c>
      <c r="C42" s="76" t="s">
        <v>79</v>
      </c>
      <c r="D42" s="34" t="s">
        <v>3058</v>
      </c>
      <c r="E42" s="25" t="s">
        <v>81</v>
      </c>
      <c r="F42" s="38">
        <v>25000</v>
      </c>
      <c r="G42" s="56">
        <v>43678</v>
      </c>
      <c r="H42" s="76">
        <v>8000</v>
      </c>
      <c r="I42" s="105"/>
      <c r="J42" s="105"/>
      <c r="K42" s="112" t="s">
        <v>3059</v>
      </c>
      <c r="L42" s="68" t="s">
        <v>3060</v>
      </c>
      <c r="M42" s="108"/>
      <c r="N42" s="108"/>
      <c r="O42" s="35" t="s">
        <v>3061</v>
      </c>
      <c r="P42" s="35" t="s">
        <v>3062</v>
      </c>
      <c r="Q42" s="35" t="s">
        <v>498</v>
      </c>
      <c r="R42" s="163" t="s">
        <v>3063</v>
      </c>
      <c r="S42" s="35"/>
      <c r="T42" s="92" t="s">
        <v>2138</v>
      </c>
      <c r="U42" s="92" t="s">
        <v>2139</v>
      </c>
      <c r="V42" s="92" t="str">
        <f t="shared" si="25"/>
        <v>社会事业教育</v>
      </c>
      <c r="W42" s="156"/>
      <c r="X42" s="67"/>
      <c r="Y42" s="35"/>
      <c r="Z42" s="35"/>
      <c r="AA42" s="35"/>
      <c r="AB42" s="35"/>
      <c r="AC42" s="35"/>
      <c r="AD42" s="180"/>
      <c r="AE42" s="35"/>
      <c r="AF42" s="35" t="s">
        <v>205</v>
      </c>
      <c r="AG42" s="35" t="s">
        <v>2140</v>
      </c>
      <c r="AH42" s="179" t="str">
        <f t="shared" ref="AH42:AH47" si="26">AF42&amp;Q42</f>
        <v>政府市滨海新城管委</v>
      </c>
      <c r="AI42" s="179" t="str">
        <f t="shared" ref="AI42:AI47" si="27">AG42&amp;Q42</f>
        <v>民生设施市滨海新城管委</v>
      </c>
      <c r="AJ42" s="191">
        <f t="shared" ref="AJ42:AJ47" si="28">IF(I42&gt;0,1,0)</f>
        <v>0</v>
      </c>
      <c r="AK42" s="35"/>
      <c r="AL42" s="35"/>
      <c r="AM42" s="35"/>
      <c r="AN42" s="180"/>
      <c r="AO42" s="217"/>
    </row>
    <row r="43" s="9" customFormat="1" ht="73.5" customHeight="1" spans="1:43">
      <c r="A43" s="23">
        <f>SUBTOTAL(3,C$5:C43)</f>
        <v>39</v>
      </c>
      <c r="B43" s="34" t="s">
        <v>3064</v>
      </c>
      <c r="C43" s="76" t="s">
        <v>562</v>
      </c>
      <c r="D43" s="55" t="s">
        <v>3065</v>
      </c>
      <c r="E43" s="78" t="s">
        <v>575</v>
      </c>
      <c r="F43" s="38">
        <v>9125.14</v>
      </c>
      <c r="G43" s="38">
        <v>400</v>
      </c>
      <c r="H43" s="54" t="s">
        <v>3066</v>
      </c>
      <c r="I43" s="36">
        <v>1000</v>
      </c>
      <c r="J43" s="111"/>
      <c r="K43" s="112" t="s">
        <v>3067</v>
      </c>
      <c r="L43" s="112" t="s">
        <v>3068</v>
      </c>
      <c r="M43" s="90"/>
      <c r="N43" s="90"/>
      <c r="O43" s="34" t="s">
        <v>1040</v>
      </c>
      <c r="P43" s="35" t="s">
        <v>2027</v>
      </c>
      <c r="Q43" s="35" t="s">
        <v>498</v>
      </c>
      <c r="R43" s="164" t="s">
        <v>3069</v>
      </c>
      <c r="S43" s="165"/>
      <c r="T43" s="158" t="s">
        <v>2016</v>
      </c>
      <c r="U43" s="158" t="s">
        <v>2017</v>
      </c>
      <c r="V43" s="158" t="str">
        <f t="shared" si="25"/>
        <v>城市基础设施生态环保</v>
      </c>
      <c r="W43" s="158"/>
      <c r="X43" s="165"/>
      <c r="Y43" s="169"/>
      <c r="Z43" s="165"/>
      <c r="AA43" s="165"/>
      <c r="AB43" s="165"/>
      <c r="AC43" s="165"/>
      <c r="AD43" s="165"/>
      <c r="AE43" s="169"/>
      <c r="AF43" s="169"/>
      <c r="AG43" s="169"/>
      <c r="AH43" s="165"/>
      <c r="AI43" s="202" t="s">
        <v>205</v>
      </c>
      <c r="AJ43" s="203" t="s">
        <v>1980</v>
      </c>
      <c r="AK43" s="201" t="str">
        <f>AI43&amp;Q43</f>
        <v>政府市滨海新城管委</v>
      </c>
      <c r="AL43" s="201" t="str">
        <f>AJ43&amp;Q43</f>
        <v>基础设施市滨海新城管委</v>
      </c>
      <c r="AN43" s="201"/>
      <c r="AO43" s="201"/>
      <c r="AP43" s="201"/>
      <c r="AQ43" s="181"/>
    </row>
    <row r="44" s="6" customFormat="1" ht="61.15" customHeight="1" spans="1:42">
      <c r="A44" s="23">
        <f>SUBTOTAL(3,C$5:C44)</f>
        <v>40</v>
      </c>
      <c r="B44" s="79" t="s">
        <v>3070</v>
      </c>
      <c r="C44" s="80" t="s">
        <v>79</v>
      </c>
      <c r="D44" s="79" t="s">
        <v>3071</v>
      </c>
      <c r="E44" s="80" t="s">
        <v>112</v>
      </c>
      <c r="F44" s="80">
        <v>15000</v>
      </c>
      <c r="G44" s="81" t="s">
        <v>195</v>
      </c>
      <c r="H44" s="80">
        <v>13000</v>
      </c>
      <c r="I44" s="50"/>
      <c r="J44" s="118"/>
      <c r="K44" s="79" t="s">
        <v>3072</v>
      </c>
      <c r="L44" s="79" t="s">
        <v>117</v>
      </c>
      <c r="M44" s="90"/>
      <c r="N44" s="90"/>
      <c r="O44" s="79" t="s">
        <v>772</v>
      </c>
      <c r="P44" s="80" t="s">
        <v>2523</v>
      </c>
      <c r="Q44" s="80" t="s">
        <v>240</v>
      </c>
      <c r="R44" s="166" t="s">
        <v>3073</v>
      </c>
      <c r="S44" s="157"/>
      <c r="T44" s="158" t="s">
        <v>2068</v>
      </c>
      <c r="U44" s="158" t="s">
        <v>2061</v>
      </c>
      <c r="V44" s="158" t="str">
        <f t="shared" si="25"/>
        <v>园区基础设施海域吹填及土地平整</v>
      </c>
      <c r="W44" s="167"/>
      <c r="X44" s="160"/>
      <c r="Y44" s="157"/>
      <c r="Z44" s="157"/>
      <c r="AA44" s="157"/>
      <c r="AB44" s="157"/>
      <c r="AC44" s="157"/>
      <c r="AD44" s="157"/>
      <c r="AE44" s="157" t="str">
        <f t="shared" ref="AE44:AE47" si="29">Q44&amp;G44</f>
        <v>钦州高新区管委3月</v>
      </c>
      <c r="AF44" s="157" t="s">
        <v>205</v>
      </c>
      <c r="AG44" s="157" t="s">
        <v>1980</v>
      </c>
      <c r="AH44" s="201" t="str">
        <f t="shared" si="26"/>
        <v>政府钦州高新区管委</v>
      </c>
      <c r="AI44" s="201" t="str">
        <f t="shared" si="27"/>
        <v>基础设施钦州高新区管委</v>
      </c>
      <c r="AJ44" s="185">
        <f t="shared" si="28"/>
        <v>0</v>
      </c>
      <c r="AK44" s="157"/>
      <c r="AL44" s="157"/>
      <c r="AM44" s="157"/>
      <c r="AN44" s="157"/>
      <c r="AO44" s="206"/>
      <c r="AP44" s="6" t="s">
        <v>1917</v>
      </c>
    </row>
    <row r="45" s="6" customFormat="1" ht="66" customHeight="1" spans="1:42">
      <c r="A45" s="23">
        <f>SUBTOTAL(3,C$5:C45)</f>
        <v>41</v>
      </c>
      <c r="B45" s="79" t="s">
        <v>3074</v>
      </c>
      <c r="C45" s="80" t="s">
        <v>79</v>
      </c>
      <c r="D45" s="79" t="s">
        <v>3075</v>
      </c>
      <c r="E45" s="80" t="s">
        <v>112</v>
      </c>
      <c r="F45" s="80">
        <v>19776</v>
      </c>
      <c r="G45" s="27" t="s">
        <v>3076</v>
      </c>
      <c r="H45" s="80">
        <v>8000</v>
      </c>
      <c r="I45" s="50"/>
      <c r="J45" s="118"/>
      <c r="K45" s="79" t="s">
        <v>3077</v>
      </c>
      <c r="L45" s="79" t="s">
        <v>117</v>
      </c>
      <c r="M45" s="90"/>
      <c r="N45" s="90"/>
      <c r="O45" s="79" t="s">
        <v>772</v>
      </c>
      <c r="P45" s="80" t="s">
        <v>2523</v>
      </c>
      <c r="Q45" s="80" t="s">
        <v>240</v>
      </c>
      <c r="R45" s="166" t="s">
        <v>3073</v>
      </c>
      <c r="S45" s="157"/>
      <c r="T45" s="158" t="s">
        <v>2020</v>
      </c>
      <c r="U45" s="158" t="s">
        <v>2061</v>
      </c>
      <c r="V45" s="158" t="str">
        <f t="shared" si="25"/>
        <v>园区基础设施路网工程</v>
      </c>
      <c r="W45" s="167"/>
      <c r="X45" s="160"/>
      <c r="Y45" s="157"/>
      <c r="Z45" s="157"/>
      <c r="AA45" s="157"/>
      <c r="AB45" s="157"/>
      <c r="AC45" s="157"/>
      <c r="AD45" s="157"/>
      <c r="AE45" s="157" t="str">
        <f t="shared" si="29"/>
        <v>钦州高新区管委5月</v>
      </c>
      <c r="AF45" s="157" t="s">
        <v>205</v>
      </c>
      <c r="AG45" s="157" t="s">
        <v>1980</v>
      </c>
      <c r="AH45" s="201" t="str">
        <f t="shared" si="26"/>
        <v>政府钦州高新区管委</v>
      </c>
      <c r="AI45" s="201" t="str">
        <f t="shared" si="27"/>
        <v>基础设施钦州高新区管委</v>
      </c>
      <c r="AJ45" s="185">
        <f t="shared" si="28"/>
        <v>0</v>
      </c>
      <c r="AK45" s="157"/>
      <c r="AL45" s="157"/>
      <c r="AM45" s="157"/>
      <c r="AN45" s="157"/>
      <c r="AO45" s="206"/>
      <c r="AP45" s="6" t="s">
        <v>1917</v>
      </c>
    </row>
    <row r="46" s="6" customFormat="1" ht="61.15" customHeight="1" spans="1:42">
      <c r="A46" s="23">
        <f>SUBTOTAL(3,C$5:C46)</f>
        <v>42</v>
      </c>
      <c r="B46" s="79" t="s">
        <v>3078</v>
      </c>
      <c r="C46" s="80" t="s">
        <v>79</v>
      </c>
      <c r="D46" s="79" t="s">
        <v>3079</v>
      </c>
      <c r="E46" s="80" t="s">
        <v>112</v>
      </c>
      <c r="F46" s="80">
        <v>6893</v>
      </c>
      <c r="G46" s="81" t="s">
        <v>3080</v>
      </c>
      <c r="H46" s="80">
        <v>4000</v>
      </c>
      <c r="I46" s="50"/>
      <c r="J46" s="118"/>
      <c r="K46" s="79" t="s">
        <v>3081</v>
      </c>
      <c r="L46" s="79" t="s">
        <v>117</v>
      </c>
      <c r="M46" s="90"/>
      <c r="N46" s="90"/>
      <c r="O46" s="79" t="s">
        <v>772</v>
      </c>
      <c r="P46" s="80" t="s">
        <v>2523</v>
      </c>
      <c r="Q46" s="80" t="s">
        <v>240</v>
      </c>
      <c r="R46" s="166" t="s">
        <v>3073</v>
      </c>
      <c r="S46" s="157"/>
      <c r="T46" s="158" t="s">
        <v>2020</v>
      </c>
      <c r="U46" s="158" t="s">
        <v>2061</v>
      </c>
      <c r="V46" s="158" t="str">
        <f t="shared" si="25"/>
        <v>园区基础设施路网工程</v>
      </c>
      <c r="W46" s="167"/>
      <c r="X46" s="160"/>
      <c r="Y46" s="157"/>
      <c r="Z46" s="157"/>
      <c r="AA46" s="157"/>
      <c r="AB46" s="157"/>
      <c r="AC46" s="157"/>
      <c r="AD46" s="157"/>
      <c r="AE46" s="157" t="str">
        <f t="shared" si="29"/>
        <v>钦州高新区管委10月</v>
      </c>
      <c r="AF46" s="157" t="s">
        <v>205</v>
      </c>
      <c r="AG46" s="157" t="s">
        <v>1980</v>
      </c>
      <c r="AH46" s="201" t="str">
        <f t="shared" si="26"/>
        <v>政府钦州高新区管委</v>
      </c>
      <c r="AI46" s="201" t="str">
        <f t="shared" si="27"/>
        <v>基础设施钦州高新区管委</v>
      </c>
      <c r="AJ46" s="185">
        <f t="shared" si="28"/>
        <v>0</v>
      </c>
      <c r="AK46" s="157"/>
      <c r="AL46" s="157"/>
      <c r="AM46" s="157"/>
      <c r="AN46" s="157"/>
      <c r="AO46" s="206"/>
      <c r="AP46" s="6" t="s">
        <v>1917</v>
      </c>
    </row>
    <row r="47" s="6" customFormat="1" ht="63.6" customHeight="1" spans="1:42">
      <c r="A47" s="23">
        <f>SUBTOTAL(3,C$5:C47)</f>
        <v>43</v>
      </c>
      <c r="B47" s="79" t="s">
        <v>3082</v>
      </c>
      <c r="C47" s="80" t="s">
        <v>79</v>
      </c>
      <c r="D47" s="79" t="s">
        <v>3083</v>
      </c>
      <c r="E47" s="80" t="s">
        <v>112</v>
      </c>
      <c r="F47" s="80">
        <v>14000</v>
      </c>
      <c r="G47" s="27" t="s">
        <v>3076</v>
      </c>
      <c r="H47" s="80">
        <v>3000</v>
      </c>
      <c r="I47" s="50"/>
      <c r="J47" s="118"/>
      <c r="K47" s="79" t="s">
        <v>132</v>
      </c>
      <c r="L47" s="79" t="s">
        <v>117</v>
      </c>
      <c r="M47" s="90"/>
      <c r="N47" s="90"/>
      <c r="O47" s="79" t="s">
        <v>772</v>
      </c>
      <c r="P47" s="80" t="s">
        <v>2523</v>
      </c>
      <c r="Q47" s="80" t="s">
        <v>240</v>
      </c>
      <c r="R47" s="166" t="s">
        <v>3073</v>
      </c>
      <c r="S47" s="157"/>
      <c r="T47" s="158" t="s">
        <v>2020</v>
      </c>
      <c r="U47" s="158" t="s">
        <v>2061</v>
      </c>
      <c r="V47" s="158" t="str">
        <f t="shared" si="25"/>
        <v>园区基础设施路网工程</v>
      </c>
      <c r="W47" s="167"/>
      <c r="X47" s="160"/>
      <c r="Y47" s="157"/>
      <c r="Z47" s="157"/>
      <c r="AA47" s="157"/>
      <c r="AB47" s="157"/>
      <c r="AC47" s="157"/>
      <c r="AD47" s="157"/>
      <c r="AE47" s="157" t="str">
        <f t="shared" si="29"/>
        <v>钦州高新区管委5月</v>
      </c>
      <c r="AF47" s="157" t="s">
        <v>205</v>
      </c>
      <c r="AG47" s="157" t="s">
        <v>1980</v>
      </c>
      <c r="AH47" s="201" t="str">
        <f t="shared" si="26"/>
        <v>政府钦州高新区管委</v>
      </c>
      <c r="AI47" s="201" t="str">
        <f t="shared" si="27"/>
        <v>基础设施钦州高新区管委</v>
      </c>
      <c r="AJ47" s="185">
        <f t="shared" si="28"/>
        <v>0</v>
      </c>
      <c r="AK47" s="157"/>
      <c r="AL47" s="157"/>
      <c r="AM47" s="157"/>
      <c r="AN47" s="157"/>
      <c r="AO47" s="206"/>
      <c r="AP47" s="6" t="s">
        <v>1917</v>
      </c>
    </row>
    <row r="48" s="9" customFormat="1" ht="72.75" customHeight="1" spans="1:50">
      <c r="A48" s="23">
        <f>SUBTOTAL(3,C$5:C48)</f>
        <v>44</v>
      </c>
      <c r="B48" s="51" t="s">
        <v>3084</v>
      </c>
      <c r="C48" s="52" t="s">
        <v>562</v>
      </c>
      <c r="D48" s="53" t="s">
        <v>3085</v>
      </c>
      <c r="E48" s="52" t="s">
        <v>575</v>
      </c>
      <c r="F48" s="52">
        <v>22956</v>
      </c>
      <c r="G48" s="82">
        <v>356</v>
      </c>
      <c r="H48" s="54" t="s">
        <v>3050</v>
      </c>
      <c r="I48" s="82">
        <v>2000</v>
      </c>
      <c r="J48" s="50"/>
      <c r="K48" s="51" t="s">
        <v>3086</v>
      </c>
      <c r="L48" s="51" t="s">
        <v>2522</v>
      </c>
      <c r="M48" s="90"/>
      <c r="N48" s="90"/>
      <c r="O48" s="51" t="s">
        <v>772</v>
      </c>
      <c r="P48" s="52" t="s">
        <v>2523</v>
      </c>
      <c r="Q48" s="52" t="s">
        <v>240</v>
      </c>
      <c r="R48" s="168" t="s">
        <v>3087</v>
      </c>
      <c r="S48" s="157"/>
      <c r="T48" s="161" t="s">
        <v>2020</v>
      </c>
      <c r="U48" s="161" t="s">
        <v>2061</v>
      </c>
      <c r="V48" s="158" t="str">
        <f t="shared" si="25"/>
        <v>园区基础设施路网工程</v>
      </c>
      <c r="W48" s="158"/>
      <c r="X48" s="161"/>
      <c r="Y48" s="161"/>
      <c r="Z48" s="160"/>
      <c r="AA48" s="157"/>
      <c r="AB48" s="157"/>
      <c r="AC48" s="157"/>
      <c r="AD48" s="157"/>
      <c r="AE48" s="157"/>
      <c r="AF48" s="157"/>
      <c r="AG48" s="157"/>
      <c r="AH48" s="157"/>
      <c r="AI48" s="201" t="s">
        <v>205</v>
      </c>
      <c r="AJ48" s="203" t="s">
        <v>1980</v>
      </c>
      <c r="AK48" s="201" t="str">
        <f>AI48&amp;Q48</f>
        <v>政府钦州高新区管委</v>
      </c>
      <c r="AL48" s="201" t="str">
        <f>AJ48&amp;Q48</f>
        <v>基础设施钦州高新区管委</v>
      </c>
      <c r="AM48" s="204">
        <f>IF(J48&gt;0,1,0)</f>
        <v>0</v>
      </c>
      <c r="AN48" s="157" t="str">
        <f>IF(I48&lt;1000,"",V48&amp;"1000")</f>
        <v>园区基础设施路网工程1000</v>
      </c>
      <c r="AO48" s="157" t="str">
        <f>IF(I48&lt;2000,"",V48&amp;"2000")</f>
        <v>园区基础设施路网工程2000</v>
      </c>
      <c r="AP48" s="157" t="str">
        <f>IF(I48&lt;5000,"",V48&amp;"5000")</f>
        <v/>
      </c>
      <c r="AQ48" s="181"/>
      <c r="AR48" s="206"/>
      <c r="AT48" s="206"/>
      <c r="AU48" s="224"/>
      <c r="AV48" s="206"/>
      <c r="AW48" s="206"/>
      <c r="AX48" s="206"/>
    </row>
    <row r="49" s="9" customFormat="1" ht="66.75" customHeight="1" spans="1:50">
      <c r="A49" s="23">
        <f>SUBTOTAL(3,C$5:C49)</f>
        <v>45</v>
      </c>
      <c r="B49" s="51" t="s">
        <v>3088</v>
      </c>
      <c r="C49" s="52" t="s">
        <v>562</v>
      </c>
      <c r="D49" s="53" t="s">
        <v>3089</v>
      </c>
      <c r="E49" s="52" t="s">
        <v>575</v>
      </c>
      <c r="F49" s="52">
        <v>13841</v>
      </c>
      <c r="G49" s="82">
        <v>350</v>
      </c>
      <c r="H49" s="54" t="s">
        <v>3050</v>
      </c>
      <c r="I49" s="82">
        <v>2000</v>
      </c>
      <c r="J49" s="50"/>
      <c r="K49" s="51" t="s">
        <v>3090</v>
      </c>
      <c r="L49" s="51" t="s">
        <v>2522</v>
      </c>
      <c r="M49" s="90"/>
      <c r="N49" s="90"/>
      <c r="O49" s="51" t="s">
        <v>772</v>
      </c>
      <c r="P49" s="52" t="s">
        <v>2523</v>
      </c>
      <c r="Q49" s="52" t="s">
        <v>240</v>
      </c>
      <c r="R49" s="168" t="s">
        <v>3087</v>
      </c>
      <c r="S49" s="157"/>
      <c r="T49" s="161" t="s">
        <v>2020</v>
      </c>
      <c r="U49" s="161" t="s">
        <v>2061</v>
      </c>
      <c r="V49" s="158" t="str">
        <f t="shared" si="25"/>
        <v>园区基础设施路网工程</v>
      </c>
      <c r="W49" s="158"/>
      <c r="X49" s="161"/>
      <c r="Y49" s="161"/>
      <c r="Z49" s="160"/>
      <c r="AA49" s="157"/>
      <c r="AB49" s="157"/>
      <c r="AC49" s="157"/>
      <c r="AD49" s="157"/>
      <c r="AE49" s="157"/>
      <c r="AF49" s="157"/>
      <c r="AG49" s="157"/>
      <c r="AH49" s="157"/>
      <c r="AI49" s="201" t="s">
        <v>205</v>
      </c>
      <c r="AJ49" s="203" t="s">
        <v>1980</v>
      </c>
      <c r="AK49" s="201" t="str">
        <f>AI49&amp;Q49</f>
        <v>政府钦州高新区管委</v>
      </c>
      <c r="AL49" s="201" t="str">
        <f>AJ49&amp;Q49</f>
        <v>基础设施钦州高新区管委</v>
      </c>
      <c r="AM49" s="204">
        <f>IF(J49&gt;0,1,0)</f>
        <v>0</v>
      </c>
      <c r="AN49" s="157" t="str">
        <f>IF(I49&lt;1000,"",V49&amp;"1000")</f>
        <v>园区基础设施路网工程1000</v>
      </c>
      <c r="AO49" s="157" t="str">
        <f>IF(I49&lt;2000,"",V49&amp;"2000")</f>
        <v>园区基础设施路网工程2000</v>
      </c>
      <c r="AP49" s="157" t="str">
        <f>IF(I49&lt;5000,"",V49&amp;"5000")</f>
        <v/>
      </c>
      <c r="AQ49" s="181"/>
      <c r="AR49" s="206"/>
      <c r="AT49" s="206"/>
      <c r="AU49" s="224"/>
      <c r="AV49" s="206"/>
      <c r="AW49" s="206"/>
      <c r="AX49" s="206"/>
    </row>
    <row r="50" s="9" customFormat="1" ht="67.5" customHeight="1" spans="1:42">
      <c r="A50" s="23">
        <f>SUBTOTAL(3,C$5:C50)</f>
        <v>46</v>
      </c>
      <c r="B50" s="34" t="s">
        <v>3091</v>
      </c>
      <c r="C50" s="35" t="s">
        <v>79</v>
      </c>
      <c r="D50" s="34" t="s">
        <v>3092</v>
      </c>
      <c r="E50" s="35" t="s">
        <v>143</v>
      </c>
      <c r="F50" s="36">
        <v>300000</v>
      </c>
      <c r="G50" s="81" t="s">
        <v>177</v>
      </c>
      <c r="H50" s="36">
        <v>5000</v>
      </c>
      <c r="I50" s="56"/>
      <c r="J50" s="67"/>
      <c r="K50" s="112" t="s">
        <v>224</v>
      </c>
      <c r="L50" s="112" t="s">
        <v>117</v>
      </c>
      <c r="M50" s="112"/>
      <c r="N50" s="112"/>
      <c r="O50" s="34" t="s">
        <v>3093</v>
      </c>
      <c r="P50" s="35" t="s">
        <v>2131</v>
      </c>
      <c r="Q50" s="35" t="s">
        <v>185</v>
      </c>
      <c r="R50" s="93" t="s">
        <v>3094</v>
      </c>
      <c r="S50" s="157"/>
      <c r="T50" s="158" t="s">
        <v>186</v>
      </c>
      <c r="U50" s="158" t="s">
        <v>91</v>
      </c>
      <c r="V50" s="158" t="str">
        <f t="shared" ref="V50:V55" si="30">U50&amp;T50</f>
        <v>工业中马园</v>
      </c>
      <c r="W50" s="169"/>
      <c r="X50" s="160"/>
      <c r="Y50" s="165"/>
      <c r="Z50" s="157"/>
      <c r="AA50" s="157"/>
      <c r="AB50" s="157"/>
      <c r="AC50" s="157"/>
      <c r="AD50" s="181"/>
      <c r="AE50" s="157" t="str">
        <f t="shared" ref="AE50:AE53" si="31">Q50&amp;G50</f>
        <v>中马钦州产业园区管委4月</v>
      </c>
      <c r="AF50" s="157" t="s">
        <v>92</v>
      </c>
      <c r="AG50" s="157" t="s">
        <v>93</v>
      </c>
      <c r="AH50" s="201" t="str">
        <f t="shared" ref="AH50:AH53" si="32">AF50&amp;Q50</f>
        <v>企业中马钦州产业园区管委</v>
      </c>
      <c r="AI50" s="201" t="str">
        <f t="shared" ref="AI50:AI53" si="33">AG50&amp;Q50</f>
        <v>产业中马钦州产业园区管委</v>
      </c>
      <c r="AJ50" s="201">
        <f t="shared" ref="AJ50:AJ53" si="34">IF(I50&gt;0,1,0)</f>
        <v>0</v>
      </c>
      <c r="AK50" s="157"/>
      <c r="AL50" s="157"/>
      <c r="AM50" s="157"/>
      <c r="AN50" s="181"/>
      <c r="AO50" s="206"/>
      <c r="AP50" s="9" t="s">
        <v>1904</v>
      </c>
    </row>
    <row r="51" s="6" customFormat="1" ht="66.75" customHeight="1" spans="1:45">
      <c r="A51" s="23">
        <f>SUBTOTAL(3,C$5:C51)</f>
        <v>47</v>
      </c>
      <c r="B51" s="34" t="s">
        <v>3095</v>
      </c>
      <c r="C51" s="67" t="s">
        <v>79</v>
      </c>
      <c r="D51" s="60" t="s">
        <v>3096</v>
      </c>
      <c r="E51" s="35" t="s">
        <v>81</v>
      </c>
      <c r="F51" s="35">
        <v>36800</v>
      </c>
      <c r="G51" s="83" t="s">
        <v>263</v>
      </c>
      <c r="H51" s="67">
        <v>3000</v>
      </c>
      <c r="I51" s="56"/>
      <c r="J51" s="127"/>
      <c r="K51" s="90" t="s">
        <v>3097</v>
      </c>
      <c r="L51" s="90" t="s">
        <v>3098</v>
      </c>
      <c r="M51" s="90"/>
      <c r="N51" s="90"/>
      <c r="O51" s="34" t="s">
        <v>3099</v>
      </c>
      <c r="P51" s="35" t="s">
        <v>3100</v>
      </c>
      <c r="Q51" s="35" t="s">
        <v>240</v>
      </c>
      <c r="R51" s="93" t="s">
        <v>3101</v>
      </c>
      <c r="S51" s="157"/>
      <c r="T51" s="158" t="s">
        <v>241</v>
      </c>
      <c r="U51" s="158" t="s">
        <v>91</v>
      </c>
      <c r="V51" s="158" t="str">
        <f t="shared" si="30"/>
        <v>工业高新区</v>
      </c>
      <c r="W51" s="167"/>
      <c r="X51" s="160"/>
      <c r="Y51" s="157"/>
      <c r="Z51" s="157"/>
      <c r="AA51" s="157"/>
      <c r="AB51" s="157"/>
      <c r="AC51" s="157"/>
      <c r="AD51" s="157"/>
      <c r="AE51" s="157" t="str">
        <f t="shared" si="31"/>
        <v>钦州高新区管委7月</v>
      </c>
      <c r="AF51" s="157" t="s">
        <v>92</v>
      </c>
      <c r="AG51" s="157" t="s">
        <v>93</v>
      </c>
      <c r="AH51" s="201" t="str">
        <f t="shared" si="32"/>
        <v>企业钦州高新区管委</v>
      </c>
      <c r="AI51" s="201" t="str">
        <f t="shared" si="33"/>
        <v>产业钦州高新区管委</v>
      </c>
      <c r="AJ51" s="201">
        <f t="shared" si="34"/>
        <v>0</v>
      </c>
      <c r="AK51" s="157"/>
      <c r="AL51" s="157"/>
      <c r="AM51" s="157"/>
      <c r="AN51" s="157"/>
      <c r="AO51" s="206"/>
      <c r="AR51" s="228"/>
      <c r="AS51" s="229"/>
    </row>
    <row r="52" s="6" customFormat="1" ht="84.75" customHeight="1" spans="1:45">
      <c r="A52" s="23">
        <f>SUBTOTAL(3,C$5:C52)</f>
        <v>48</v>
      </c>
      <c r="B52" s="34" t="s">
        <v>3102</v>
      </c>
      <c r="C52" s="35" t="s">
        <v>79</v>
      </c>
      <c r="D52" s="55" t="s">
        <v>3103</v>
      </c>
      <c r="E52" s="35" t="s">
        <v>81</v>
      </c>
      <c r="F52" s="35">
        <v>200000</v>
      </c>
      <c r="G52" s="81" t="s">
        <v>82</v>
      </c>
      <c r="H52" s="36">
        <v>1500</v>
      </c>
      <c r="I52" s="50"/>
      <c r="J52" s="36"/>
      <c r="K52" s="112" t="s">
        <v>3104</v>
      </c>
      <c r="L52" s="112" t="s">
        <v>3105</v>
      </c>
      <c r="M52" s="99">
        <v>400</v>
      </c>
      <c r="N52" s="99">
        <v>150</v>
      </c>
      <c r="O52" s="123" t="s">
        <v>3106</v>
      </c>
      <c r="P52" s="67" t="s">
        <v>3107</v>
      </c>
      <c r="Q52" s="35" t="s">
        <v>269</v>
      </c>
      <c r="R52" s="93" t="s">
        <v>3108</v>
      </c>
      <c r="S52" s="157"/>
      <c r="T52" s="158" t="s">
        <v>270</v>
      </c>
      <c r="U52" s="158" t="s">
        <v>91</v>
      </c>
      <c r="V52" s="158" t="str">
        <f t="shared" si="30"/>
        <v>工业灵山县</v>
      </c>
      <c r="W52" s="167"/>
      <c r="X52" s="160"/>
      <c r="Y52" s="157"/>
      <c r="Z52" s="157"/>
      <c r="AA52" s="157"/>
      <c r="AB52" s="157"/>
      <c r="AC52" s="157"/>
      <c r="AD52" s="157"/>
      <c r="AE52" s="157" t="str">
        <f t="shared" si="31"/>
        <v>灵山县人民政府10月</v>
      </c>
      <c r="AF52" s="157" t="s">
        <v>92</v>
      </c>
      <c r="AG52" s="157" t="s">
        <v>93</v>
      </c>
      <c r="AH52" s="201" t="str">
        <f t="shared" si="32"/>
        <v>企业灵山县人民政府</v>
      </c>
      <c r="AI52" s="201" t="str">
        <f t="shared" si="33"/>
        <v>产业灵山县人民政府</v>
      </c>
      <c r="AJ52" s="201">
        <f t="shared" si="34"/>
        <v>0</v>
      </c>
      <c r="AK52" s="157"/>
      <c r="AL52" s="157"/>
      <c r="AM52" s="157"/>
      <c r="AN52" s="157"/>
      <c r="AO52" s="206"/>
      <c r="AP52" s="6" t="s">
        <v>1895</v>
      </c>
      <c r="AR52" s="7" t="s">
        <v>3109</v>
      </c>
      <c r="AS52" s="229"/>
    </row>
    <row r="53" s="4" customFormat="1" ht="78.75" customHeight="1" spans="1:41">
      <c r="A53" s="23">
        <f>SUBTOTAL(3,C$5:C53)</f>
        <v>49</v>
      </c>
      <c r="B53" s="34" t="s">
        <v>3110</v>
      </c>
      <c r="C53" s="35" t="s">
        <v>79</v>
      </c>
      <c r="D53" s="34" t="s">
        <v>3111</v>
      </c>
      <c r="E53" s="35" t="s">
        <v>112</v>
      </c>
      <c r="F53" s="36">
        <v>10000</v>
      </c>
      <c r="G53" s="81" t="s">
        <v>82</v>
      </c>
      <c r="H53" s="36">
        <v>4000</v>
      </c>
      <c r="I53" s="111"/>
      <c r="J53" s="118"/>
      <c r="K53" s="128" t="s">
        <v>3112</v>
      </c>
      <c r="L53" s="112" t="s">
        <v>3113</v>
      </c>
      <c r="M53" s="99"/>
      <c r="N53" s="99"/>
      <c r="O53" s="34" t="s">
        <v>2363</v>
      </c>
      <c r="P53" s="35" t="s">
        <v>3114</v>
      </c>
      <c r="Q53" s="170" t="s">
        <v>269</v>
      </c>
      <c r="R53" s="93" t="s">
        <v>3115</v>
      </c>
      <c r="S53" s="157"/>
      <c r="T53" s="158" t="s">
        <v>2020</v>
      </c>
      <c r="U53" s="158" t="s">
        <v>2017</v>
      </c>
      <c r="V53" s="158" t="str">
        <f t="shared" si="30"/>
        <v>城市基础设施路网工程</v>
      </c>
      <c r="W53" s="159"/>
      <c r="X53" s="160"/>
      <c r="Y53" s="157"/>
      <c r="Z53" s="157"/>
      <c r="AA53" s="157"/>
      <c r="AB53" s="157"/>
      <c r="AC53" s="157"/>
      <c r="AD53" s="181"/>
      <c r="AE53" s="157" t="str">
        <f t="shared" si="31"/>
        <v>灵山县人民政府10月</v>
      </c>
      <c r="AF53" s="157" t="s">
        <v>205</v>
      </c>
      <c r="AG53" s="157" t="s">
        <v>1980</v>
      </c>
      <c r="AH53" s="201" t="str">
        <f t="shared" si="32"/>
        <v>政府灵山县人民政府</v>
      </c>
      <c r="AI53" s="201" t="str">
        <f t="shared" si="33"/>
        <v>基础设施灵山县人民政府</v>
      </c>
      <c r="AJ53" s="201">
        <f t="shared" si="34"/>
        <v>0</v>
      </c>
      <c r="AK53" s="157"/>
      <c r="AL53" s="157"/>
      <c r="AM53" s="157"/>
      <c r="AN53" s="181"/>
      <c r="AO53" s="206"/>
    </row>
    <row r="54" s="4" customFormat="1" ht="81.75" customHeight="1" spans="1:56">
      <c r="A54" s="23">
        <f>SUBTOTAL(3,C$5:C54)</f>
        <v>50</v>
      </c>
      <c r="B54" s="84" t="s">
        <v>3116</v>
      </c>
      <c r="C54" s="35" t="s">
        <v>562</v>
      </c>
      <c r="D54" s="85" t="s">
        <v>3117</v>
      </c>
      <c r="E54" s="35" t="s">
        <v>564</v>
      </c>
      <c r="F54" s="36">
        <v>11000</v>
      </c>
      <c r="G54" s="36">
        <v>4000</v>
      </c>
      <c r="H54" s="54" t="s">
        <v>3118</v>
      </c>
      <c r="I54" s="36">
        <v>2000</v>
      </c>
      <c r="J54" s="36"/>
      <c r="K54" s="112" t="s">
        <v>3119</v>
      </c>
      <c r="L54" s="112" t="s">
        <v>117</v>
      </c>
      <c r="M54" s="112"/>
      <c r="N54" s="112"/>
      <c r="O54" s="84" t="s">
        <v>204</v>
      </c>
      <c r="P54" s="35" t="s">
        <v>3120</v>
      </c>
      <c r="Q54" s="35" t="s">
        <v>185</v>
      </c>
      <c r="R54" s="91" t="s">
        <v>620</v>
      </c>
      <c r="S54" s="157"/>
      <c r="T54" s="158" t="s">
        <v>186</v>
      </c>
      <c r="U54" s="158" t="s">
        <v>91</v>
      </c>
      <c r="V54" s="158" t="str">
        <f t="shared" si="30"/>
        <v>工业中马园</v>
      </c>
      <c r="W54" s="158"/>
      <c r="X54" s="161"/>
      <c r="Y54" s="161"/>
      <c r="Z54" s="160"/>
      <c r="AA54" s="157"/>
      <c r="AB54" s="157"/>
      <c r="AC54" s="157"/>
      <c r="AD54" s="157"/>
      <c r="AE54" s="157"/>
      <c r="AF54" s="157"/>
      <c r="AG54" s="157"/>
      <c r="AH54" s="157"/>
      <c r="AI54" s="157" t="s">
        <v>92</v>
      </c>
      <c r="AJ54" s="203" t="s">
        <v>93</v>
      </c>
      <c r="AK54" s="201" t="str">
        <f t="shared" ref="AK54:AK58" si="35">AI54&amp;Q54</f>
        <v>企业中马钦州产业园区管委</v>
      </c>
      <c r="AL54" s="201" t="str">
        <f t="shared" ref="AL54:AL58" si="36">AJ54&amp;Q54</f>
        <v>产业中马钦州产业园区管委</v>
      </c>
      <c r="AM54" s="204">
        <f>IF(J54&gt;0,1,0)</f>
        <v>0</v>
      </c>
      <c r="AN54" s="157" t="str">
        <f>IF(I54&lt;1000,"",V54&amp;"1000")</f>
        <v>工业中马园1000</v>
      </c>
      <c r="AO54" s="157" t="str">
        <f>IF(I54&lt;2000,"",V54&amp;"2000")</f>
        <v>工业中马园2000</v>
      </c>
      <c r="AP54" s="157" t="str">
        <f>IF(I54&lt;5000,"",V54&amp;"5000")</f>
        <v/>
      </c>
      <c r="AQ54" s="230"/>
      <c r="AR54" s="206"/>
      <c r="AS54" s="7"/>
      <c r="AT54" s="204"/>
      <c r="AU54" s="227"/>
      <c r="AV54" s="204"/>
      <c r="AW54" s="204"/>
      <c r="AX54" s="204"/>
      <c r="AY54" s="7"/>
      <c r="AZ54" s="7"/>
      <c r="BA54" s="7"/>
      <c r="BB54" s="7"/>
      <c r="BC54" s="7"/>
      <c r="BD54" s="7"/>
    </row>
    <row r="55" s="10" customFormat="1" ht="59.25" customHeight="1" spans="1:41">
      <c r="A55" s="23">
        <f>SUBTOTAL(3,C$5:C55)</f>
        <v>51</v>
      </c>
      <c r="B55" s="86" t="s">
        <v>3121</v>
      </c>
      <c r="C55" s="87" t="s">
        <v>79</v>
      </c>
      <c r="D55" s="86" t="s">
        <v>3122</v>
      </c>
      <c r="E55" s="86" t="s">
        <v>143</v>
      </c>
      <c r="F55" s="87">
        <v>6685</v>
      </c>
      <c r="G55" s="81" t="s">
        <v>283</v>
      </c>
      <c r="H55" s="87">
        <v>2000</v>
      </c>
      <c r="I55" s="76"/>
      <c r="J55" s="76"/>
      <c r="K55" s="86" t="s">
        <v>3123</v>
      </c>
      <c r="L55" s="125" t="s">
        <v>117</v>
      </c>
      <c r="M55" s="99"/>
      <c r="N55" s="99"/>
      <c r="O55" s="86" t="s">
        <v>1533</v>
      </c>
      <c r="P55" s="87" t="s">
        <v>2103</v>
      </c>
      <c r="Q55" s="35" t="s">
        <v>359</v>
      </c>
      <c r="R55" s="171" t="s">
        <v>3124</v>
      </c>
      <c r="S55" s="157"/>
      <c r="T55" s="158" t="s">
        <v>2104</v>
      </c>
      <c r="U55" s="158" t="s">
        <v>2105</v>
      </c>
      <c r="V55" s="158" t="str">
        <f t="shared" si="30"/>
        <v>农林水水利</v>
      </c>
      <c r="W55" s="167"/>
      <c r="X55" s="160"/>
      <c r="Y55" s="157"/>
      <c r="Z55" s="157"/>
      <c r="AA55" s="157"/>
      <c r="AB55" s="157"/>
      <c r="AC55" s="157"/>
      <c r="AD55" s="162"/>
      <c r="AE55" s="157" t="str">
        <f>Q55&amp;G55</f>
        <v>钦南区人民政府11月</v>
      </c>
      <c r="AF55" s="157" t="s">
        <v>205</v>
      </c>
      <c r="AG55" s="157" t="s">
        <v>1980</v>
      </c>
      <c r="AH55" s="201" t="str">
        <f>AF55&amp;Q55</f>
        <v>政府钦南区人民政府</v>
      </c>
      <c r="AI55" s="201" t="str">
        <f t="shared" ref="AI55:AI61" si="37">AG55&amp;Q55</f>
        <v>基础设施钦南区人民政府</v>
      </c>
      <c r="AJ55" s="201">
        <f>IF(I55&gt;0,1,0)</f>
        <v>0</v>
      </c>
      <c r="AK55" s="157"/>
      <c r="AL55" s="157"/>
      <c r="AM55" s="157"/>
      <c r="AN55" s="162"/>
      <c r="AO55" s="206"/>
    </row>
    <row r="56" s="6" customFormat="1" ht="109.5" customHeight="1" spans="1:45">
      <c r="A56" s="23">
        <f>SUBTOTAL(3,C$5:C56)</f>
        <v>52</v>
      </c>
      <c r="B56" s="34" t="s">
        <v>3125</v>
      </c>
      <c r="C56" s="35" t="s">
        <v>79</v>
      </c>
      <c r="D56" s="34" t="s">
        <v>3126</v>
      </c>
      <c r="E56" s="35" t="s">
        <v>112</v>
      </c>
      <c r="F56" s="36">
        <v>34804</v>
      </c>
      <c r="G56" s="81" t="s">
        <v>144</v>
      </c>
      <c r="H56" s="36">
        <v>2000</v>
      </c>
      <c r="I56" s="56"/>
      <c r="J56" s="127"/>
      <c r="K56" s="112" t="s">
        <v>3127</v>
      </c>
      <c r="L56" s="112" t="s">
        <v>117</v>
      </c>
      <c r="M56" s="112">
        <v>41</v>
      </c>
      <c r="N56" s="112">
        <v>41</v>
      </c>
      <c r="O56" s="34" t="s">
        <v>766</v>
      </c>
      <c r="P56" s="129" t="s">
        <v>2427</v>
      </c>
      <c r="Q56" s="81" t="s">
        <v>185</v>
      </c>
      <c r="R56" s="93" t="s">
        <v>3128</v>
      </c>
      <c r="S56" s="157"/>
      <c r="T56" s="158" t="s">
        <v>186</v>
      </c>
      <c r="U56" s="158" t="s">
        <v>91</v>
      </c>
      <c r="V56" s="158" t="str">
        <f t="shared" ref="V56:V62" si="38">U56&amp;T56</f>
        <v>工业中马园</v>
      </c>
      <c r="W56" s="167"/>
      <c r="X56" s="160"/>
      <c r="Y56" s="157"/>
      <c r="Z56" s="157"/>
      <c r="AA56" s="157"/>
      <c r="AB56" s="157"/>
      <c r="AC56" s="157"/>
      <c r="AD56" s="157"/>
      <c r="AE56" s="157" t="str">
        <f>Q56&amp;G56</f>
        <v>中马钦州产业园区管委5月</v>
      </c>
      <c r="AF56" s="157" t="s">
        <v>205</v>
      </c>
      <c r="AG56" s="157" t="s">
        <v>1980</v>
      </c>
      <c r="AH56" s="201" t="str">
        <f>AF56&amp;Q56</f>
        <v>政府中马钦州产业园区管委</v>
      </c>
      <c r="AI56" s="201" t="str">
        <f t="shared" si="37"/>
        <v>基础设施中马钦州产业园区管委</v>
      </c>
      <c r="AJ56" s="201">
        <f>IF(I56&gt;0,1,0)</f>
        <v>0</v>
      </c>
      <c r="AK56" s="157"/>
      <c r="AL56" s="157"/>
      <c r="AM56" s="157"/>
      <c r="AN56" s="157"/>
      <c r="AO56" s="206"/>
      <c r="AP56" s="6" t="s">
        <v>1895</v>
      </c>
      <c r="AR56" s="228"/>
      <c r="AS56" s="229"/>
    </row>
    <row r="57" s="4" customFormat="1" ht="63.75" customHeight="1" spans="1:46">
      <c r="A57" s="23">
        <f>SUBTOTAL(3,C$5:C57)</f>
        <v>53</v>
      </c>
      <c r="B57" s="34" t="s">
        <v>3129</v>
      </c>
      <c r="C57" s="23" t="s">
        <v>562</v>
      </c>
      <c r="D57" s="88" t="s">
        <v>3130</v>
      </c>
      <c r="E57" s="35" t="s">
        <v>575</v>
      </c>
      <c r="F57" s="36">
        <v>166000</v>
      </c>
      <c r="G57" s="67">
        <v>20000</v>
      </c>
      <c r="H57" s="55" t="s">
        <v>3131</v>
      </c>
      <c r="I57" s="36">
        <v>20000</v>
      </c>
      <c r="J57" s="56"/>
      <c r="K57" s="112" t="s">
        <v>3132</v>
      </c>
      <c r="L57" s="112" t="s">
        <v>117</v>
      </c>
      <c r="M57" s="130">
        <v>120</v>
      </c>
      <c r="N57" s="130">
        <v>120</v>
      </c>
      <c r="O57" s="34" t="s">
        <v>215</v>
      </c>
      <c r="P57" s="35" t="s">
        <v>3133</v>
      </c>
      <c r="Q57" s="35" t="s">
        <v>185</v>
      </c>
      <c r="R57" s="91" t="s">
        <v>3134</v>
      </c>
      <c r="S57" s="158"/>
      <c r="T57" s="158" t="s">
        <v>186</v>
      </c>
      <c r="U57" s="158" t="s">
        <v>91</v>
      </c>
      <c r="V57" s="158" t="str">
        <f t="shared" si="38"/>
        <v>工业中马园</v>
      </c>
      <c r="W57" s="160"/>
      <c r="X57" s="157"/>
      <c r="Y57" s="157"/>
      <c r="Z57" s="157"/>
      <c r="AA57" s="157"/>
      <c r="AB57" s="157"/>
      <c r="AC57" s="182"/>
      <c r="AD57" s="157"/>
      <c r="AE57" s="157"/>
      <c r="AF57" s="157"/>
      <c r="AG57" s="201"/>
      <c r="AH57" s="201"/>
      <c r="AI57" s="157" t="s">
        <v>92</v>
      </c>
      <c r="AJ57" s="203" t="s">
        <v>1980</v>
      </c>
      <c r="AK57" s="201" t="str">
        <f t="shared" si="35"/>
        <v>企业中马钦州产业园区管委</v>
      </c>
      <c r="AL57" s="201" t="str">
        <f t="shared" si="36"/>
        <v>基础设施中马钦州产业园区管委</v>
      </c>
      <c r="AM57" s="182"/>
      <c r="AN57" s="206"/>
      <c r="AT57" s="7" t="s">
        <v>3109</v>
      </c>
    </row>
    <row r="58" s="4" customFormat="1" ht="73.5" customHeight="1" spans="1:46">
      <c r="A58" s="23">
        <f>SUBTOTAL(3,C$5:C58)</f>
        <v>54</v>
      </c>
      <c r="B58" s="34" t="s">
        <v>193</v>
      </c>
      <c r="C58" s="23" t="s">
        <v>562</v>
      </c>
      <c r="D58" s="55" t="s">
        <v>194</v>
      </c>
      <c r="E58" s="35" t="s">
        <v>575</v>
      </c>
      <c r="F58" s="36">
        <v>400000</v>
      </c>
      <c r="G58" s="67">
        <v>7000</v>
      </c>
      <c r="H58" s="55" t="s">
        <v>3135</v>
      </c>
      <c r="I58" s="36">
        <v>15000</v>
      </c>
      <c r="J58" s="56"/>
      <c r="K58" s="112" t="s">
        <v>3136</v>
      </c>
      <c r="L58" s="112" t="s">
        <v>117</v>
      </c>
      <c r="M58" s="131">
        <v>300</v>
      </c>
      <c r="N58" s="131">
        <v>300</v>
      </c>
      <c r="O58" s="34" t="s">
        <v>198</v>
      </c>
      <c r="P58" s="35" t="s">
        <v>1912</v>
      </c>
      <c r="Q58" s="35" t="s">
        <v>185</v>
      </c>
      <c r="R58" s="91" t="s">
        <v>3134</v>
      </c>
      <c r="S58" s="158"/>
      <c r="T58" s="158" t="s">
        <v>186</v>
      </c>
      <c r="U58" s="158" t="s">
        <v>91</v>
      </c>
      <c r="V58" s="158" t="str">
        <f t="shared" si="38"/>
        <v>工业中马园</v>
      </c>
      <c r="W58" s="160"/>
      <c r="X58" s="157"/>
      <c r="Y58" s="157"/>
      <c r="Z58" s="157"/>
      <c r="AA58" s="157"/>
      <c r="AB58" s="157"/>
      <c r="AC58" s="157"/>
      <c r="AD58" s="157"/>
      <c r="AE58" s="157"/>
      <c r="AF58" s="157"/>
      <c r="AG58" s="201"/>
      <c r="AH58" s="201"/>
      <c r="AI58" s="157" t="s">
        <v>92</v>
      </c>
      <c r="AJ58" s="203" t="s">
        <v>1980</v>
      </c>
      <c r="AK58" s="201" t="str">
        <f t="shared" si="35"/>
        <v>企业中马钦州产业园区管委</v>
      </c>
      <c r="AL58" s="201" t="str">
        <f t="shared" si="36"/>
        <v>基础设施中马钦州产业园区管委</v>
      </c>
      <c r="AM58" s="157"/>
      <c r="AN58" s="206"/>
      <c r="AT58" s="7" t="s">
        <v>3109</v>
      </c>
    </row>
    <row r="59" s="7" customFormat="1" ht="81" customHeight="1" spans="1:48">
      <c r="A59" s="23">
        <f>SUBTOTAL(3,C$5:C59)</f>
        <v>55</v>
      </c>
      <c r="B59" s="58" t="s">
        <v>3137</v>
      </c>
      <c r="C59" s="23" t="s">
        <v>79</v>
      </c>
      <c r="D59" s="66" t="s">
        <v>3138</v>
      </c>
      <c r="E59" s="89" t="s">
        <v>112</v>
      </c>
      <c r="F59" s="67">
        <v>140000</v>
      </c>
      <c r="G59" s="83" t="s">
        <v>122</v>
      </c>
      <c r="H59" s="67">
        <v>5000</v>
      </c>
      <c r="I59" s="111"/>
      <c r="J59" s="67"/>
      <c r="K59" s="112" t="s">
        <v>3139</v>
      </c>
      <c r="L59" s="112" t="s">
        <v>117</v>
      </c>
      <c r="M59" s="132">
        <v>300</v>
      </c>
      <c r="N59" s="132">
        <v>300</v>
      </c>
      <c r="O59" s="123" t="s">
        <v>3140</v>
      </c>
      <c r="P59" s="67" t="s">
        <v>3141</v>
      </c>
      <c r="Q59" s="35" t="s">
        <v>185</v>
      </c>
      <c r="R59" s="93" t="s">
        <v>3142</v>
      </c>
      <c r="S59" s="157"/>
      <c r="T59" s="158" t="s">
        <v>186</v>
      </c>
      <c r="U59" s="158" t="s">
        <v>91</v>
      </c>
      <c r="V59" s="158" t="str">
        <f t="shared" si="38"/>
        <v>工业中马园</v>
      </c>
      <c r="W59" s="158" t="str">
        <f t="shared" ref="W59:W62" si="39">U59</f>
        <v>工业</v>
      </c>
      <c r="X59" s="159"/>
      <c r="Y59" s="160"/>
      <c r="Z59" s="157"/>
      <c r="AA59" s="157"/>
      <c r="AB59" s="157"/>
      <c r="AC59" s="157"/>
      <c r="AD59" s="157"/>
      <c r="AE59" s="157"/>
      <c r="AF59" s="157" t="str">
        <f t="shared" ref="AF59:AF61" si="40">Q59&amp;G59</f>
        <v>中马钦州产业园区管委6月</v>
      </c>
      <c r="AG59" s="157" t="s">
        <v>92</v>
      </c>
      <c r="AH59" s="157" t="s">
        <v>93</v>
      </c>
      <c r="AI59" s="201" t="str">
        <f t="shared" si="37"/>
        <v>企业中马钦州产业园区管委</v>
      </c>
      <c r="AJ59" s="201" t="str">
        <f t="shared" ref="AJ59:AJ61" si="41">AH59&amp;Q59</f>
        <v>产业中马钦州产业园区管委</v>
      </c>
      <c r="AK59" s="201">
        <f>IF(I59&gt;0,1,0)</f>
        <v>0</v>
      </c>
      <c r="AL59" s="157"/>
      <c r="AM59" s="157">
        <f t="shared" ref="AM59:AM61" si="42">IF(M59&gt;0,1,0)</f>
        <v>1</v>
      </c>
      <c r="AN59" s="157" t="e">
        <f>IF(#REF!&gt;0,1,0)</f>
        <v>#REF!</v>
      </c>
      <c r="AO59" s="157" t="e">
        <f>IF(#REF!&gt;0,1,0)</f>
        <v>#REF!</v>
      </c>
      <c r="AP59" s="157" t="e">
        <f>IF(#REF!&gt;0,1,0)</f>
        <v>#REF!</v>
      </c>
      <c r="AQ59" s="157" t="e">
        <f>IF(#REF!&gt;0,1,0)</f>
        <v>#REF!</v>
      </c>
      <c r="AR59" s="157"/>
      <c r="AS59" s="206"/>
      <c r="AT59" s="7" t="s">
        <v>1895</v>
      </c>
      <c r="AV59" s="7" t="s">
        <v>1890</v>
      </c>
    </row>
    <row r="60" s="9" customFormat="1" ht="65.25" customHeight="1" spans="1:44">
      <c r="A60" s="23">
        <f>SUBTOTAL(3,C$5:C60)</f>
        <v>56</v>
      </c>
      <c r="B60" s="34" t="s">
        <v>3143</v>
      </c>
      <c r="C60" s="35" t="s">
        <v>79</v>
      </c>
      <c r="D60" s="34" t="s">
        <v>3144</v>
      </c>
      <c r="E60" s="35" t="s">
        <v>81</v>
      </c>
      <c r="F60" s="35">
        <v>30000</v>
      </c>
      <c r="G60" s="83" t="s">
        <v>122</v>
      </c>
      <c r="H60" s="35">
        <v>2000</v>
      </c>
      <c r="I60" s="133"/>
      <c r="J60" s="134"/>
      <c r="K60" s="112" t="s">
        <v>132</v>
      </c>
      <c r="L60" s="112" t="s">
        <v>117</v>
      </c>
      <c r="M60" s="132">
        <v>300</v>
      </c>
      <c r="N60" s="132">
        <v>300</v>
      </c>
      <c r="O60" s="34" t="s">
        <v>3145</v>
      </c>
      <c r="P60" s="35" t="s">
        <v>3146</v>
      </c>
      <c r="Q60" s="35" t="s">
        <v>185</v>
      </c>
      <c r="R60" s="93" t="s">
        <v>3142</v>
      </c>
      <c r="S60" s="165"/>
      <c r="T60" s="158" t="s">
        <v>186</v>
      </c>
      <c r="U60" s="158" t="s">
        <v>91</v>
      </c>
      <c r="V60" s="158" t="str">
        <f t="shared" si="38"/>
        <v>工业中马园</v>
      </c>
      <c r="W60" s="158" t="str">
        <f t="shared" si="39"/>
        <v>工业</v>
      </c>
      <c r="X60" s="169"/>
      <c r="Y60" s="165"/>
      <c r="Z60" s="165"/>
      <c r="AA60" s="165"/>
      <c r="AB60" s="169"/>
      <c r="AC60" s="169"/>
      <c r="AD60" s="169"/>
      <c r="AE60" s="183"/>
      <c r="AF60" s="157" t="str">
        <f t="shared" si="40"/>
        <v>中马钦州产业园区管委6月</v>
      </c>
      <c r="AG60" s="157" t="s">
        <v>92</v>
      </c>
      <c r="AH60" s="157" t="s">
        <v>93</v>
      </c>
      <c r="AI60" s="201" t="str">
        <f t="shared" si="37"/>
        <v>企业中马钦州产业园区管委</v>
      </c>
      <c r="AJ60" s="201" t="str">
        <f t="shared" si="41"/>
        <v>产业中马钦州产业园区管委</v>
      </c>
      <c r="AK60" s="7"/>
      <c r="AL60" s="157"/>
      <c r="AM60" s="157">
        <f t="shared" si="42"/>
        <v>1</v>
      </c>
      <c r="AN60" s="157" t="e">
        <f>IF(#REF!&gt;0,1,0)</f>
        <v>#REF!</v>
      </c>
      <c r="AO60" s="157" t="e">
        <f>IF(#REF!&gt;0,1,0)</f>
        <v>#REF!</v>
      </c>
      <c r="AP60" s="157" t="e">
        <f>IF(#REF!&gt;0,1,0)</f>
        <v>#REF!</v>
      </c>
      <c r="AQ60" s="157" t="e">
        <f>IF(#REF!&gt;0,1,0)</f>
        <v>#REF!</v>
      </c>
      <c r="AR60" s="183"/>
    </row>
    <row r="61" s="9" customFormat="1" ht="85.5" customHeight="1" spans="1:48">
      <c r="A61" s="23">
        <f>SUBTOTAL(3,C$5:C61)</f>
        <v>57</v>
      </c>
      <c r="B61" s="34" t="s">
        <v>3147</v>
      </c>
      <c r="C61" s="35" t="s">
        <v>79</v>
      </c>
      <c r="D61" s="34" t="s">
        <v>3148</v>
      </c>
      <c r="E61" s="35" t="s">
        <v>143</v>
      </c>
      <c r="F61" s="36">
        <v>500000</v>
      </c>
      <c r="G61" s="81" t="s">
        <v>82</v>
      </c>
      <c r="H61" s="36">
        <v>3000</v>
      </c>
      <c r="I61" s="111"/>
      <c r="J61" s="67"/>
      <c r="K61" s="112" t="s">
        <v>219</v>
      </c>
      <c r="L61" s="112" t="s">
        <v>117</v>
      </c>
      <c r="M61" s="132">
        <v>5500</v>
      </c>
      <c r="N61" s="132"/>
      <c r="O61" s="34" t="s">
        <v>3149</v>
      </c>
      <c r="P61" s="35" t="s">
        <v>3150</v>
      </c>
      <c r="Q61" s="35" t="s">
        <v>185</v>
      </c>
      <c r="R61" s="93" t="s">
        <v>3151</v>
      </c>
      <c r="S61" s="157"/>
      <c r="T61" s="158" t="s">
        <v>2154</v>
      </c>
      <c r="U61" s="158" t="s">
        <v>2139</v>
      </c>
      <c r="V61" s="158" t="str">
        <f t="shared" si="38"/>
        <v>社会事业文化</v>
      </c>
      <c r="W61" s="92" t="str">
        <f>T61</f>
        <v>文化</v>
      </c>
      <c r="X61" s="169"/>
      <c r="Y61" s="160"/>
      <c r="Z61" s="165"/>
      <c r="AA61" s="157"/>
      <c r="AB61" s="157"/>
      <c r="AC61" s="157"/>
      <c r="AD61" s="157"/>
      <c r="AE61" s="157"/>
      <c r="AF61" s="157" t="str">
        <f t="shared" si="40"/>
        <v>中马钦州产业园区管委10月</v>
      </c>
      <c r="AG61" s="157" t="s">
        <v>92</v>
      </c>
      <c r="AH61" s="157" t="s">
        <v>1980</v>
      </c>
      <c r="AI61" s="201" t="str">
        <f t="shared" si="37"/>
        <v>企业中马钦州产业园区管委</v>
      </c>
      <c r="AJ61" s="201" t="str">
        <f t="shared" si="41"/>
        <v>基础设施中马钦州产业园区管委</v>
      </c>
      <c r="AK61" s="201">
        <f>IF(I61&gt;0,1,0)</f>
        <v>0</v>
      </c>
      <c r="AL61" s="157"/>
      <c r="AM61" s="157">
        <f t="shared" si="42"/>
        <v>1</v>
      </c>
      <c r="AN61" s="157" t="e">
        <f>IF(#REF!&gt;0,1,0)</f>
        <v>#REF!</v>
      </c>
      <c r="AO61" s="157" t="e">
        <f>IF(#REF!&gt;0,1,0)</f>
        <v>#REF!</v>
      </c>
      <c r="AP61" s="157" t="e">
        <f>IF(#REF!&gt;0,1,0)</f>
        <v>#REF!</v>
      </c>
      <c r="AQ61" s="157" t="e">
        <f>IF(#REF!&gt;0,1,0)</f>
        <v>#REF!</v>
      </c>
      <c r="AR61" s="157"/>
      <c r="AS61" s="206"/>
      <c r="AT61" s="9" t="s">
        <v>1937</v>
      </c>
      <c r="AV61" s="7" t="s">
        <v>1890</v>
      </c>
    </row>
    <row r="62" s="4" customFormat="1" ht="83.25" customHeight="1" spans="1:63">
      <c r="A62" s="23">
        <f>SUBTOTAL(3,C$5:C62)</f>
        <v>58</v>
      </c>
      <c r="B62" s="34" t="s">
        <v>3152</v>
      </c>
      <c r="C62" s="35" t="s">
        <v>562</v>
      </c>
      <c r="D62" s="60" t="s">
        <v>3153</v>
      </c>
      <c r="E62" s="35" t="s">
        <v>564</v>
      </c>
      <c r="F62" s="36">
        <v>20000</v>
      </c>
      <c r="G62" s="36">
        <v>8600</v>
      </c>
      <c r="H62" s="90" t="s">
        <v>3154</v>
      </c>
      <c r="I62" s="36">
        <v>3000</v>
      </c>
      <c r="J62" s="36"/>
      <c r="K62" s="112" t="s">
        <v>3155</v>
      </c>
      <c r="L62" s="112" t="s">
        <v>3156</v>
      </c>
      <c r="M62" s="132"/>
      <c r="N62" s="132"/>
      <c r="O62" s="34" t="s">
        <v>3157</v>
      </c>
      <c r="P62" s="35" t="s">
        <v>3158</v>
      </c>
      <c r="Q62" s="35" t="s">
        <v>185</v>
      </c>
      <c r="R62" s="91" t="s">
        <v>3159</v>
      </c>
      <c r="S62" s="157"/>
      <c r="T62" s="158" t="s">
        <v>186</v>
      </c>
      <c r="U62" s="158" t="s">
        <v>91</v>
      </c>
      <c r="V62" s="158" t="str">
        <f t="shared" si="38"/>
        <v>工业中马园</v>
      </c>
      <c r="W62" s="158" t="str">
        <f t="shared" si="39"/>
        <v>工业</v>
      </c>
      <c r="X62" s="158"/>
      <c r="Y62" s="161"/>
      <c r="Z62" s="161"/>
      <c r="AA62" s="160"/>
      <c r="AB62" s="157"/>
      <c r="AC62" s="157"/>
      <c r="AD62" s="157"/>
      <c r="AE62" s="157"/>
      <c r="AF62" s="157"/>
      <c r="AG62" s="157"/>
      <c r="AH62" s="157"/>
      <c r="AI62" s="157"/>
      <c r="AJ62" s="157" t="s">
        <v>92</v>
      </c>
      <c r="AK62" s="203" t="s">
        <v>93</v>
      </c>
      <c r="AL62" s="201" t="str">
        <f>AJ62&amp;Q62</f>
        <v>企业中马钦州产业园区管委</v>
      </c>
      <c r="AM62" s="201" t="str">
        <f t="shared" ref="AM62:AM69" si="43">AK62&amp;Q62</f>
        <v>产业中马钦州产业园区管委</v>
      </c>
      <c r="AN62" s="204">
        <f>IF(J62&gt;0,1,0)</f>
        <v>0</v>
      </c>
      <c r="AO62" s="157" t="str">
        <f>IF(I62&lt;1000,"",V62&amp;"1000")</f>
        <v>工业中马园1000</v>
      </c>
      <c r="AP62" s="157" t="str">
        <f>IF(I62&lt;2000,"",V62&amp;"2000")</f>
        <v>工业中马园2000</v>
      </c>
      <c r="AQ62" s="157" t="str">
        <f>IF(I62&lt;5000,"",V62&amp;"5000")</f>
        <v/>
      </c>
      <c r="AR62" s="157"/>
      <c r="AS62" s="157">
        <f t="shared" ref="AS62:AS69" si="44">IF(M62&gt;0,1,0)</f>
        <v>0</v>
      </c>
      <c r="AT62" s="157" t="e">
        <f>IF(#REF!&gt;0,1,0)</f>
        <v>#REF!</v>
      </c>
      <c r="AU62" s="157" t="e">
        <f>IF(#REF!&gt;0,1,0)</f>
        <v>#REF!</v>
      </c>
      <c r="AV62" s="157" t="e">
        <f>IF(#REF!&gt;0,1,0)</f>
        <v>#REF!</v>
      </c>
      <c r="AW62" s="157" t="e">
        <f>IF(#REF!&gt;0,1,0)</f>
        <v>#REF!</v>
      </c>
      <c r="AX62" s="230"/>
      <c r="AY62" s="206"/>
      <c r="AZ62" s="7"/>
      <c r="BA62" s="204"/>
      <c r="BB62" s="227"/>
      <c r="BC62" s="204"/>
      <c r="BD62" s="204"/>
      <c r="BE62" s="204"/>
      <c r="BF62" s="7"/>
      <c r="BG62" s="7"/>
      <c r="BH62" s="7"/>
      <c r="BI62" s="7"/>
      <c r="BJ62" s="7"/>
      <c r="BK62" s="7"/>
    </row>
    <row r="63" s="4" customFormat="1" ht="79.5" customHeight="1" spans="1:62">
      <c r="A63" s="23">
        <f>SUBTOTAL(3,C$5:C63)</f>
        <v>59</v>
      </c>
      <c r="B63" s="91" t="s">
        <v>1447</v>
      </c>
      <c r="C63" s="92" t="s">
        <v>810</v>
      </c>
      <c r="D63" s="93" t="s">
        <v>1448</v>
      </c>
      <c r="E63" s="92" t="s">
        <v>832</v>
      </c>
      <c r="F63" s="67">
        <v>36596</v>
      </c>
      <c r="G63" s="67">
        <v>16000</v>
      </c>
      <c r="H63" s="81" t="s">
        <v>209</v>
      </c>
      <c r="I63" s="67">
        <v>20596</v>
      </c>
      <c r="J63" s="67"/>
      <c r="K63" s="135" t="s">
        <v>3160</v>
      </c>
      <c r="L63" s="135" t="s">
        <v>2199</v>
      </c>
      <c r="M63" s="21">
        <v>171.627</v>
      </c>
      <c r="N63" s="21"/>
      <c r="O63" s="123" t="s">
        <v>591</v>
      </c>
      <c r="P63" s="67" t="s">
        <v>2075</v>
      </c>
      <c r="Q63" s="67" t="s">
        <v>185</v>
      </c>
      <c r="R63" s="91" t="s">
        <v>3161</v>
      </c>
      <c r="S63" s="162"/>
      <c r="T63" s="157"/>
      <c r="U63" s="158" t="s">
        <v>2016</v>
      </c>
      <c r="V63" s="161" t="s">
        <v>2061</v>
      </c>
      <c r="W63" s="158" t="str">
        <f t="shared" ref="W63:W67" si="45">V63&amp;U63</f>
        <v>园区基础设施生态环保</v>
      </c>
      <c r="X63" s="158" t="s">
        <v>2018</v>
      </c>
      <c r="Y63" s="158"/>
      <c r="Z63" s="161"/>
      <c r="AA63" s="161"/>
      <c r="AB63" s="160"/>
      <c r="AC63" s="157"/>
      <c r="AD63" s="157"/>
      <c r="AE63" s="157"/>
      <c r="AF63" s="157"/>
      <c r="AG63" s="157"/>
      <c r="AH63" s="157"/>
      <c r="AI63" s="157"/>
      <c r="AJ63" s="157"/>
      <c r="AK63" s="7" t="s">
        <v>205</v>
      </c>
      <c r="AL63" s="7" t="s">
        <v>1980</v>
      </c>
      <c r="AM63" s="204" t="str">
        <f t="shared" si="43"/>
        <v>政府中马钦州产业园区管委</v>
      </c>
      <c r="AN63" s="204" t="str">
        <f t="shared" ref="AN63:AN67" si="46">AL63&amp;Q63</f>
        <v>基础设施中马钦州产业园区管委</v>
      </c>
      <c r="AO63" s="205">
        <f t="shared" ref="AO63:AO67" si="47">IF(J63&gt;0,1,0)</f>
        <v>0</v>
      </c>
      <c r="AP63" s="157" t="str">
        <f t="shared" ref="AP63:AP67" si="48">IF(I63&lt;1000,"",W63&amp;"1000")</f>
        <v>园区基础设施生态环保1000</v>
      </c>
      <c r="AQ63" s="157" t="str">
        <f t="shared" ref="AQ63:AQ67" si="49">IF(I63&lt;2000,"",W63&amp;"2000")</f>
        <v>园区基础设施生态环保2000</v>
      </c>
      <c r="AR63" s="157" t="str">
        <f t="shared" ref="AR63:AR67" si="50">IF(I63&lt;5000,"",W63&amp;"5000")</f>
        <v>园区基础设施生态环保5000</v>
      </c>
      <c r="AS63" s="157">
        <f t="shared" si="44"/>
        <v>1</v>
      </c>
      <c r="AT63" s="157" t="e">
        <f>IF(#REF!&gt;0,1,0)</f>
        <v>#REF!</v>
      </c>
      <c r="AU63" s="157" t="e">
        <f>IF(#REF!&gt;0,1,0)</f>
        <v>#REF!</v>
      </c>
      <c r="AV63" s="157" t="e">
        <f>IF(#REF!&gt;0,1,0)</f>
        <v>#REF!</v>
      </c>
      <c r="AW63" s="157" t="e">
        <f>IF(#REF!&gt;0,1,0)</f>
        <v>#REF!</v>
      </c>
      <c r="AX63" s="181"/>
      <c r="AY63" s="206"/>
      <c r="AZ63" s="7"/>
      <c r="BA63" s="206"/>
      <c r="BB63" s="225"/>
      <c r="BC63" s="206"/>
      <c r="BD63" s="206"/>
      <c r="BE63" s="206"/>
      <c r="BF63" s="7"/>
      <c r="BG63" s="7"/>
      <c r="BH63" s="7"/>
      <c r="BI63" s="7"/>
      <c r="BJ63" s="7"/>
    </row>
    <row r="64" s="4" customFormat="1" ht="75" customHeight="1" spans="1:62">
      <c r="A64" s="23">
        <f>SUBTOTAL(3,C$5:C64)</f>
        <v>60</v>
      </c>
      <c r="B64" s="34" t="s">
        <v>3162</v>
      </c>
      <c r="C64" s="35" t="s">
        <v>810</v>
      </c>
      <c r="D64" s="60" t="s">
        <v>3163</v>
      </c>
      <c r="E64" s="35" t="s">
        <v>827</v>
      </c>
      <c r="F64" s="36">
        <v>29533</v>
      </c>
      <c r="G64" s="38">
        <v>14000</v>
      </c>
      <c r="H64" s="81" t="s">
        <v>113</v>
      </c>
      <c r="I64" s="38">
        <v>15533</v>
      </c>
      <c r="J64" s="136"/>
      <c r="K64" s="90" t="s">
        <v>3164</v>
      </c>
      <c r="L64" s="137" t="s">
        <v>117</v>
      </c>
      <c r="M64" s="115">
        <v>40</v>
      </c>
      <c r="N64" s="115">
        <v>40</v>
      </c>
      <c r="O64" s="123" t="s">
        <v>766</v>
      </c>
      <c r="P64" s="35" t="s">
        <v>3165</v>
      </c>
      <c r="Q64" s="67" t="s">
        <v>185</v>
      </c>
      <c r="R64" s="172" t="s">
        <v>3166</v>
      </c>
      <c r="S64" s="162"/>
      <c r="T64" s="157"/>
      <c r="U64" s="161" t="s">
        <v>2051</v>
      </c>
      <c r="V64" s="161" t="s">
        <v>2061</v>
      </c>
      <c r="W64" s="158" t="str">
        <f t="shared" si="45"/>
        <v>园区基础设施其他</v>
      </c>
      <c r="X64" s="158" t="s">
        <v>2018</v>
      </c>
      <c r="Y64" s="158"/>
      <c r="Z64" s="161"/>
      <c r="AA64" s="161"/>
      <c r="AB64" s="160"/>
      <c r="AC64" s="157"/>
      <c r="AD64" s="157"/>
      <c r="AE64" s="157"/>
      <c r="AF64" s="157"/>
      <c r="AG64" s="157"/>
      <c r="AH64" s="157"/>
      <c r="AI64" s="157"/>
      <c r="AJ64" s="157"/>
      <c r="AK64" s="7" t="s">
        <v>205</v>
      </c>
      <c r="AL64" s="7" t="s">
        <v>1980</v>
      </c>
      <c r="AM64" s="204" t="str">
        <f t="shared" si="43"/>
        <v>政府中马钦州产业园区管委</v>
      </c>
      <c r="AN64" s="204" t="str">
        <f t="shared" si="46"/>
        <v>基础设施中马钦州产业园区管委</v>
      </c>
      <c r="AO64" s="205">
        <f t="shared" si="47"/>
        <v>0</v>
      </c>
      <c r="AP64" s="157" t="str">
        <f t="shared" si="48"/>
        <v>园区基础设施其他1000</v>
      </c>
      <c r="AQ64" s="157" t="str">
        <f t="shared" si="49"/>
        <v>园区基础设施其他2000</v>
      </c>
      <c r="AR64" s="157" t="str">
        <f t="shared" si="50"/>
        <v>园区基础设施其他5000</v>
      </c>
      <c r="AS64" s="157">
        <f t="shared" si="44"/>
        <v>1</v>
      </c>
      <c r="AT64" s="157" t="e">
        <f>IF(#REF!&gt;0,1,0)</f>
        <v>#REF!</v>
      </c>
      <c r="AU64" s="157" t="e">
        <f>IF(#REF!&gt;0,1,0)</f>
        <v>#REF!</v>
      </c>
      <c r="AV64" s="157" t="e">
        <f>IF(#REF!&gt;0,1,0)</f>
        <v>#REF!</v>
      </c>
      <c r="AW64" s="157" t="e">
        <f>IF(#REF!&gt;0,1,0)</f>
        <v>#REF!</v>
      </c>
      <c r="AX64" s="181"/>
      <c r="AY64" s="206"/>
      <c r="AZ64" s="7"/>
      <c r="BA64" s="206"/>
      <c r="BB64" s="225"/>
      <c r="BC64" s="206"/>
      <c r="BD64" s="206"/>
      <c r="BE64" s="206"/>
      <c r="BF64" s="7"/>
      <c r="BG64" s="7"/>
      <c r="BH64" s="7"/>
      <c r="BI64" s="7"/>
      <c r="BJ64" s="7"/>
    </row>
    <row r="65" s="4" customFormat="1" ht="66" customHeight="1" spans="1:62">
      <c r="A65" s="23">
        <f>SUBTOTAL(3,C$5:C65)</f>
        <v>61</v>
      </c>
      <c r="B65" s="34" t="s">
        <v>3167</v>
      </c>
      <c r="C65" s="35" t="s">
        <v>810</v>
      </c>
      <c r="D65" s="60" t="s">
        <v>3168</v>
      </c>
      <c r="E65" s="35" t="s">
        <v>827</v>
      </c>
      <c r="F65" s="35">
        <v>42325</v>
      </c>
      <c r="G65" s="36">
        <v>37000</v>
      </c>
      <c r="H65" s="81" t="s">
        <v>122</v>
      </c>
      <c r="I65" s="36">
        <v>5325</v>
      </c>
      <c r="J65" s="90"/>
      <c r="K65" s="90" t="s">
        <v>3164</v>
      </c>
      <c r="L65" s="55" t="s">
        <v>117</v>
      </c>
      <c r="M65" s="132">
        <v>81</v>
      </c>
      <c r="N65" s="132">
        <v>81</v>
      </c>
      <c r="O65" s="249" t="s">
        <v>766</v>
      </c>
      <c r="P65" s="129" t="s">
        <v>2427</v>
      </c>
      <c r="Q65" s="81" t="s">
        <v>185</v>
      </c>
      <c r="R65" s="172" t="s">
        <v>3166</v>
      </c>
      <c r="S65" s="162"/>
      <c r="T65" s="157"/>
      <c r="U65" s="158" t="s">
        <v>2138</v>
      </c>
      <c r="V65" s="158" t="s">
        <v>2139</v>
      </c>
      <c r="W65" s="158" t="str">
        <f t="shared" si="45"/>
        <v>社会事业教育</v>
      </c>
      <c r="X65" s="158" t="str">
        <f>U65</f>
        <v>教育</v>
      </c>
      <c r="Y65" s="158"/>
      <c r="Z65" s="161"/>
      <c r="AA65" s="161"/>
      <c r="AB65" s="160"/>
      <c r="AC65" s="157"/>
      <c r="AD65" s="157"/>
      <c r="AE65" s="157"/>
      <c r="AF65" s="157"/>
      <c r="AG65" s="157"/>
      <c r="AH65" s="157"/>
      <c r="AI65" s="157"/>
      <c r="AJ65" s="157"/>
      <c r="AK65" s="7" t="s">
        <v>205</v>
      </c>
      <c r="AL65" s="7" t="s">
        <v>2140</v>
      </c>
      <c r="AM65" s="204" t="str">
        <f t="shared" si="43"/>
        <v>政府中马钦州产业园区管委</v>
      </c>
      <c r="AN65" s="204" t="str">
        <f t="shared" si="46"/>
        <v>民生设施中马钦州产业园区管委</v>
      </c>
      <c r="AO65" s="205">
        <f t="shared" si="47"/>
        <v>0</v>
      </c>
      <c r="AP65" s="157" t="str">
        <f t="shared" si="48"/>
        <v>社会事业教育1000</v>
      </c>
      <c r="AQ65" s="157" t="str">
        <f t="shared" si="49"/>
        <v>社会事业教育2000</v>
      </c>
      <c r="AR65" s="157" t="str">
        <f t="shared" si="50"/>
        <v>社会事业教育5000</v>
      </c>
      <c r="AS65" s="157">
        <f t="shared" si="44"/>
        <v>1</v>
      </c>
      <c r="AT65" s="157" t="e">
        <f>IF(#REF!&gt;0,1,0)</f>
        <v>#REF!</v>
      </c>
      <c r="AU65" s="157" t="e">
        <f>IF(#REF!&gt;0,1,0)</f>
        <v>#REF!</v>
      </c>
      <c r="AV65" s="157" t="e">
        <f>IF(#REF!&gt;0,1,0)</f>
        <v>#REF!</v>
      </c>
      <c r="AW65" s="157" t="e">
        <f>IF(#REF!&gt;0,1,0)</f>
        <v>#REF!</v>
      </c>
      <c r="AX65" s="181"/>
      <c r="AY65" s="206"/>
      <c r="AZ65" s="7"/>
      <c r="BA65" s="7"/>
      <c r="BB65" s="7"/>
      <c r="BC65" s="7"/>
      <c r="BD65" s="7"/>
      <c r="BE65" s="7"/>
      <c r="BF65" s="7"/>
      <c r="BG65" s="7"/>
      <c r="BH65" s="7"/>
      <c r="BI65" s="7"/>
      <c r="BJ65" s="7"/>
    </row>
    <row r="66" s="4" customFormat="1" ht="59.25" customHeight="1" spans="1:62">
      <c r="A66" s="23">
        <f>SUBTOTAL(3,C$5:C66)</f>
        <v>62</v>
      </c>
      <c r="B66" s="34" t="s">
        <v>3169</v>
      </c>
      <c r="C66" s="35" t="s">
        <v>810</v>
      </c>
      <c r="D66" s="60" t="s">
        <v>3170</v>
      </c>
      <c r="E66" s="35" t="s">
        <v>832</v>
      </c>
      <c r="F66" s="35">
        <v>8000</v>
      </c>
      <c r="G66" s="36">
        <v>7000</v>
      </c>
      <c r="H66" s="81" t="s">
        <v>122</v>
      </c>
      <c r="I66" s="36">
        <v>1000</v>
      </c>
      <c r="J66" s="36"/>
      <c r="K66" s="90" t="s">
        <v>3164</v>
      </c>
      <c r="L66" s="55" t="s">
        <v>3171</v>
      </c>
      <c r="M66" s="132">
        <v>20.8</v>
      </c>
      <c r="N66" s="132">
        <v>20.8</v>
      </c>
      <c r="O66" s="123" t="s">
        <v>766</v>
      </c>
      <c r="P66" s="129" t="s">
        <v>2427</v>
      </c>
      <c r="Q66" s="67" t="s">
        <v>185</v>
      </c>
      <c r="R66" s="172" t="s">
        <v>3166</v>
      </c>
      <c r="S66" s="162"/>
      <c r="T66" s="157"/>
      <c r="U66" s="158" t="s">
        <v>2138</v>
      </c>
      <c r="V66" s="158" t="s">
        <v>2139</v>
      </c>
      <c r="W66" s="158" t="str">
        <f t="shared" si="45"/>
        <v>社会事业教育</v>
      </c>
      <c r="X66" s="158" t="str">
        <f>U66</f>
        <v>教育</v>
      </c>
      <c r="Y66" s="158"/>
      <c r="Z66" s="161"/>
      <c r="AA66" s="161"/>
      <c r="AB66" s="160"/>
      <c r="AC66" s="157"/>
      <c r="AD66" s="157"/>
      <c r="AE66" s="157"/>
      <c r="AF66" s="157"/>
      <c r="AG66" s="157"/>
      <c r="AH66" s="157"/>
      <c r="AI66" s="157"/>
      <c r="AJ66" s="157"/>
      <c r="AK66" s="7" t="s">
        <v>205</v>
      </c>
      <c r="AL66" s="7" t="s">
        <v>2140</v>
      </c>
      <c r="AM66" s="204" t="str">
        <f t="shared" si="43"/>
        <v>政府中马钦州产业园区管委</v>
      </c>
      <c r="AN66" s="204" t="str">
        <f t="shared" si="46"/>
        <v>民生设施中马钦州产业园区管委</v>
      </c>
      <c r="AO66" s="205">
        <f t="shared" si="47"/>
        <v>0</v>
      </c>
      <c r="AP66" s="157" t="str">
        <f t="shared" si="48"/>
        <v>社会事业教育1000</v>
      </c>
      <c r="AQ66" s="157" t="str">
        <f t="shared" si="49"/>
        <v/>
      </c>
      <c r="AR66" s="157" t="str">
        <f t="shared" si="50"/>
        <v/>
      </c>
      <c r="AS66" s="157">
        <f t="shared" si="44"/>
        <v>1</v>
      </c>
      <c r="AT66" s="157" t="e">
        <f>IF(#REF!&gt;0,1,0)</f>
        <v>#REF!</v>
      </c>
      <c r="AU66" s="157" t="e">
        <f>IF(#REF!&gt;0,1,0)</f>
        <v>#REF!</v>
      </c>
      <c r="AV66" s="157" t="e">
        <f>IF(#REF!&gt;0,1,0)</f>
        <v>#REF!</v>
      </c>
      <c r="AW66" s="157" t="e">
        <f>IF(#REF!&gt;0,1,0)</f>
        <v>#REF!</v>
      </c>
      <c r="AX66" s="181"/>
      <c r="AY66" s="206"/>
      <c r="AZ66" s="7"/>
      <c r="BA66" s="7"/>
      <c r="BB66" s="7"/>
      <c r="BC66" s="7"/>
      <c r="BD66" s="7"/>
      <c r="BE66" s="7"/>
      <c r="BF66" s="7"/>
      <c r="BG66" s="7"/>
      <c r="BH66" s="7"/>
      <c r="BI66" s="7"/>
      <c r="BJ66" s="7"/>
    </row>
    <row r="67" s="4" customFormat="1" ht="59.25" customHeight="1" spans="1:62">
      <c r="A67" s="23">
        <f>SUBTOTAL(3,C$8:C67)</f>
        <v>60</v>
      </c>
      <c r="B67" s="34" t="s">
        <v>1456</v>
      </c>
      <c r="C67" s="35" t="s">
        <v>810</v>
      </c>
      <c r="D67" s="60" t="s">
        <v>3172</v>
      </c>
      <c r="E67" s="35" t="s">
        <v>832</v>
      </c>
      <c r="F67" s="36">
        <v>30000</v>
      </c>
      <c r="G67" s="36">
        <v>15500</v>
      </c>
      <c r="H67" s="81" t="s">
        <v>131</v>
      </c>
      <c r="I67" s="36">
        <v>14500</v>
      </c>
      <c r="J67" s="36"/>
      <c r="K67" s="90" t="s">
        <v>2458</v>
      </c>
      <c r="L67" s="90" t="s">
        <v>117</v>
      </c>
      <c r="M67" s="250">
        <v>22</v>
      </c>
      <c r="N67" s="250">
        <v>22</v>
      </c>
      <c r="O67" s="123" t="s">
        <v>766</v>
      </c>
      <c r="P67" s="129" t="s">
        <v>2427</v>
      </c>
      <c r="Q67" s="67" t="s">
        <v>185</v>
      </c>
      <c r="R67" s="91" t="s">
        <v>3161</v>
      </c>
      <c r="S67" s="162"/>
      <c r="T67" s="157"/>
      <c r="U67" s="161" t="s">
        <v>2051</v>
      </c>
      <c r="V67" s="161" t="s">
        <v>2061</v>
      </c>
      <c r="W67" s="158" t="str">
        <f t="shared" si="45"/>
        <v>园区基础设施其他</v>
      </c>
      <c r="X67" s="158" t="s">
        <v>2018</v>
      </c>
      <c r="Y67" s="158"/>
      <c r="Z67" s="161"/>
      <c r="AA67" s="161"/>
      <c r="AB67" s="160"/>
      <c r="AC67" s="157"/>
      <c r="AD67" s="157"/>
      <c r="AE67" s="157"/>
      <c r="AF67" s="157"/>
      <c r="AG67" s="157"/>
      <c r="AH67" s="157"/>
      <c r="AI67" s="157"/>
      <c r="AJ67" s="157"/>
      <c r="AK67" s="7" t="s">
        <v>205</v>
      </c>
      <c r="AL67" s="7" t="s">
        <v>2140</v>
      </c>
      <c r="AM67" s="204" t="str">
        <f t="shared" si="43"/>
        <v>政府中马钦州产业园区管委</v>
      </c>
      <c r="AN67" s="204" t="str">
        <f t="shared" si="46"/>
        <v>民生设施中马钦州产业园区管委</v>
      </c>
      <c r="AO67" s="205">
        <f t="shared" si="47"/>
        <v>0</v>
      </c>
      <c r="AP67" s="157" t="str">
        <f t="shared" si="48"/>
        <v>园区基础设施其他1000</v>
      </c>
      <c r="AQ67" s="157" t="str">
        <f t="shared" si="49"/>
        <v>园区基础设施其他2000</v>
      </c>
      <c r="AR67" s="157" t="str">
        <f t="shared" si="50"/>
        <v>园区基础设施其他5000</v>
      </c>
      <c r="AS67" s="157">
        <f t="shared" si="44"/>
        <v>1</v>
      </c>
      <c r="AT67" s="157" t="e">
        <f>IF(#REF!&gt;0,1,0)</f>
        <v>#REF!</v>
      </c>
      <c r="AU67" s="157" t="e">
        <f>IF(#REF!&gt;0,1,0)</f>
        <v>#REF!</v>
      </c>
      <c r="AV67" s="157" t="e">
        <f>IF(#REF!&gt;0,1,0)</f>
        <v>#REF!</v>
      </c>
      <c r="AW67" s="157" t="e">
        <f>IF(#REF!&gt;0,1,0)</f>
        <v>#REF!</v>
      </c>
      <c r="AX67" s="181"/>
      <c r="AY67" s="206"/>
      <c r="AZ67" s="7"/>
      <c r="BA67" s="7"/>
      <c r="BB67" s="7"/>
      <c r="BC67" s="7"/>
      <c r="BD67" s="7"/>
      <c r="BE67" s="7"/>
      <c r="BF67" s="7"/>
      <c r="BG67" s="7"/>
      <c r="BH67" s="7"/>
      <c r="BI67" s="7"/>
      <c r="BJ67" s="7"/>
    </row>
    <row r="68" s="4" customFormat="1" ht="86.25" customHeight="1" spans="1:57">
      <c r="A68" s="23">
        <f>SUBTOTAL(3,C$7:C68)</f>
        <v>62</v>
      </c>
      <c r="B68" s="34" t="s">
        <v>3173</v>
      </c>
      <c r="C68" s="35" t="s">
        <v>562</v>
      </c>
      <c r="D68" s="55" t="s">
        <v>3174</v>
      </c>
      <c r="E68" s="35" t="s">
        <v>575</v>
      </c>
      <c r="F68" s="38">
        <v>46000</v>
      </c>
      <c r="G68" s="38">
        <v>600</v>
      </c>
      <c r="H68" s="54" t="s">
        <v>3175</v>
      </c>
      <c r="I68" s="38">
        <v>3000</v>
      </c>
      <c r="J68" s="50"/>
      <c r="K68" s="112" t="s">
        <v>3176</v>
      </c>
      <c r="L68" s="112" t="s">
        <v>117</v>
      </c>
      <c r="M68" s="250">
        <v>20</v>
      </c>
      <c r="N68" s="250">
        <v>20</v>
      </c>
      <c r="O68" s="34" t="s">
        <v>766</v>
      </c>
      <c r="P68" s="129" t="s">
        <v>2427</v>
      </c>
      <c r="Q68" s="35" t="s">
        <v>185</v>
      </c>
      <c r="R68" s="270" t="s">
        <v>3177</v>
      </c>
      <c r="S68" s="157"/>
      <c r="T68" s="158" t="s">
        <v>2132</v>
      </c>
      <c r="U68" s="158" t="s">
        <v>459</v>
      </c>
      <c r="V68" s="158" t="str">
        <f t="shared" ref="V68:V74" si="51">U68&amp;T68</f>
        <v>服务业信息服务</v>
      </c>
      <c r="W68" s="158" t="s">
        <v>2051</v>
      </c>
      <c r="X68" s="158"/>
      <c r="Y68" s="157"/>
      <c r="Z68" s="272"/>
      <c r="AA68" s="160"/>
      <c r="AB68" s="157"/>
      <c r="AC68" s="157"/>
      <c r="AD68" s="157"/>
      <c r="AE68" s="157"/>
      <c r="AF68" s="157"/>
      <c r="AG68" s="157"/>
      <c r="AH68" s="157"/>
      <c r="AI68" s="157"/>
      <c r="AJ68" s="157" t="s">
        <v>205</v>
      </c>
      <c r="AK68" s="203" t="s">
        <v>1980</v>
      </c>
      <c r="AL68" s="201" t="str">
        <f t="shared" ref="AL68:AL73" si="52">AJ68&amp;Q68</f>
        <v>政府中马钦州产业园区管委</v>
      </c>
      <c r="AM68" s="201" t="str">
        <f t="shared" si="43"/>
        <v>基础设施中马钦州产业园区管委</v>
      </c>
      <c r="AN68" s="204">
        <f t="shared" ref="AN68:AN73" si="53">IF(J68&gt;0,1,0)</f>
        <v>0</v>
      </c>
      <c r="AO68" s="157" t="str">
        <f t="shared" ref="AO68:AO73" si="54">IF(I68&lt;1000,"",V68&amp;"1000")</f>
        <v>服务业信息服务1000</v>
      </c>
      <c r="AP68" s="157" t="str">
        <f t="shared" ref="AP68:AP73" si="55">IF(I68&lt;2000,"",V68&amp;"2000")</f>
        <v>服务业信息服务2000</v>
      </c>
      <c r="AQ68" s="157" t="str">
        <f t="shared" ref="AQ68:AQ73" si="56">IF(I68&lt;5000,"",V68&amp;"5000")</f>
        <v/>
      </c>
      <c r="AR68" s="157"/>
      <c r="AS68" s="157">
        <f t="shared" si="44"/>
        <v>1</v>
      </c>
      <c r="AT68" s="157" t="e">
        <f>IF(#REF!&gt;0,1,0)</f>
        <v>#REF!</v>
      </c>
      <c r="AU68" s="157" t="e">
        <f>IF(#REF!&gt;0,1,0)</f>
        <v>#REF!</v>
      </c>
      <c r="AV68" s="157" t="e">
        <f>IF(#REF!&gt;0,1,0)</f>
        <v>#REF!</v>
      </c>
      <c r="AW68" s="157" t="e">
        <f>IF(#REF!&gt;0,1,0)</f>
        <v>#REF!</v>
      </c>
      <c r="AX68" s="181"/>
      <c r="AY68" s="206"/>
      <c r="AZ68" s="7"/>
      <c r="BA68" s="206"/>
      <c r="BB68" s="224"/>
      <c r="BC68" s="206"/>
      <c r="BD68" s="206"/>
      <c r="BE68" s="206"/>
    </row>
    <row r="69" s="4" customFormat="1" ht="72.75" customHeight="1" spans="1:63">
      <c r="A69" s="23">
        <f>SUBTOTAL(3,C$7:C69)</f>
        <v>63</v>
      </c>
      <c r="B69" s="34" t="s">
        <v>830</v>
      </c>
      <c r="C69" s="35" t="s">
        <v>562</v>
      </c>
      <c r="D69" s="60" t="s">
        <v>831</v>
      </c>
      <c r="E69" s="59" t="s">
        <v>564</v>
      </c>
      <c r="F69" s="36">
        <v>30000</v>
      </c>
      <c r="G69" s="36">
        <v>27000</v>
      </c>
      <c r="H69" s="90" t="s">
        <v>3178</v>
      </c>
      <c r="I69" s="36">
        <v>3000</v>
      </c>
      <c r="J69" s="81"/>
      <c r="K69" s="112" t="s">
        <v>2574</v>
      </c>
      <c r="L69" s="112" t="s">
        <v>117</v>
      </c>
      <c r="M69" s="132"/>
      <c r="N69" s="132"/>
      <c r="O69" s="34" t="s">
        <v>600</v>
      </c>
      <c r="P69" s="35" t="s">
        <v>2207</v>
      </c>
      <c r="Q69" s="35" t="s">
        <v>185</v>
      </c>
      <c r="R69" s="91" t="s">
        <v>3179</v>
      </c>
      <c r="S69" s="157"/>
      <c r="T69" s="158" t="s">
        <v>186</v>
      </c>
      <c r="U69" s="158" t="s">
        <v>91</v>
      </c>
      <c r="V69" s="158" t="str">
        <f t="shared" si="51"/>
        <v>工业中马园</v>
      </c>
      <c r="W69" s="158" t="str">
        <f t="shared" ref="W69:W73" si="57">U69</f>
        <v>工业</v>
      </c>
      <c r="X69" s="158"/>
      <c r="Y69" s="161"/>
      <c r="Z69" s="161"/>
      <c r="AA69" s="160"/>
      <c r="AB69" s="157"/>
      <c r="AC69" s="157"/>
      <c r="AD69" s="157"/>
      <c r="AE69" s="157"/>
      <c r="AF69" s="157"/>
      <c r="AG69" s="157"/>
      <c r="AH69" s="157"/>
      <c r="AI69" s="157"/>
      <c r="AJ69" s="157" t="s">
        <v>92</v>
      </c>
      <c r="AK69" s="203" t="s">
        <v>93</v>
      </c>
      <c r="AL69" s="201" t="str">
        <f t="shared" si="52"/>
        <v>企业中马钦州产业园区管委</v>
      </c>
      <c r="AM69" s="201" t="str">
        <f t="shared" si="43"/>
        <v>产业中马钦州产业园区管委</v>
      </c>
      <c r="AN69" s="204">
        <f t="shared" si="53"/>
        <v>0</v>
      </c>
      <c r="AO69" s="157" t="str">
        <f t="shared" si="54"/>
        <v>工业中马园1000</v>
      </c>
      <c r="AP69" s="157" t="str">
        <f t="shared" si="55"/>
        <v>工业中马园2000</v>
      </c>
      <c r="AQ69" s="157" t="str">
        <f t="shared" si="56"/>
        <v/>
      </c>
      <c r="AR69" s="157"/>
      <c r="AS69" s="157">
        <f t="shared" si="44"/>
        <v>0</v>
      </c>
      <c r="AT69" s="157" t="e">
        <f>IF(#REF!&gt;0,1,0)</f>
        <v>#REF!</v>
      </c>
      <c r="AU69" s="157" t="e">
        <f>IF(#REF!&gt;0,1,0)</f>
        <v>#REF!</v>
      </c>
      <c r="AV69" s="157" t="e">
        <f>IF(#REF!&gt;0,1,0)</f>
        <v>#REF!</v>
      </c>
      <c r="AW69" s="157" t="e">
        <f>IF(#REF!&gt;0,1,0)</f>
        <v>#REF!</v>
      </c>
      <c r="AX69" s="157"/>
      <c r="AY69" s="206"/>
      <c r="AZ69" s="7"/>
      <c r="BA69" s="204"/>
      <c r="BB69" s="227"/>
      <c r="BC69" s="204"/>
      <c r="BD69" s="204"/>
      <c r="BE69" s="204"/>
      <c r="BF69" s="7"/>
      <c r="BG69" s="7"/>
      <c r="BH69" s="7"/>
      <c r="BI69" s="7"/>
      <c r="BJ69" s="7"/>
      <c r="BK69" s="7"/>
    </row>
    <row r="70" s="9" customFormat="1" ht="79.5" customHeight="1" spans="1:48">
      <c r="A70" s="23">
        <f>SUBTOTAL(3,C$10:C70)</f>
        <v>61</v>
      </c>
      <c r="B70" s="58" t="s">
        <v>3180</v>
      </c>
      <c r="C70" s="23" t="s">
        <v>79</v>
      </c>
      <c r="D70" s="34" t="s">
        <v>3181</v>
      </c>
      <c r="E70" s="23" t="s">
        <v>208</v>
      </c>
      <c r="F70" s="67">
        <v>110000</v>
      </c>
      <c r="G70" s="81" t="s">
        <v>283</v>
      </c>
      <c r="H70" s="67">
        <v>3000</v>
      </c>
      <c r="I70" s="67"/>
      <c r="J70" s="67"/>
      <c r="K70" s="244" t="s">
        <v>3182</v>
      </c>
      <c r="L70" s="244" t="s">
        <v>117</v>
      </c>
      <c r="M70" s="251"/>
      <c r="N70" s="251"/>
      <c r="O70" s="123" t="s">
        <v>1652</v>
      </c>
      <c r="P70" s="67" t="s">
        <v>3183</v>
      </c>
      <c r="Q70" s="67" t="s">
        <v>119</v>
      </c>
      <c r="R70" s="93" t="s">
        <v>3184</v>
      </c>
      <c r="S70" s="165"/>
      <c r="T70" s="161" t="s">
        <v>1977</v>
      </c>
      <c r="U70" s="161" t="s">
        <v>1978</v>
      </c>
      <c r="V70" s="158" t="str">
        <f t="shared" si="51"/>
        <v>交通港口水运</v>
      </c>
      <c r="W70" s="158" t="s">
        <v>1979</v>
      </c>
      <c r="X70" s="159"/>
      <c r="Y70" s="160"/>
      <c r="Z70" s="157"/>
      <c r="AA70" s="157"/>
      <c r="AB70" s="157"/>
      <c r="AC70" s="157"/>
      <c r="AD70" s="157"/>
      <c r="AE70" s="181"/>
      <c r="AF70" s="157" t="str">
        <f t="shared" ref="AF70:AF72" si="58">Q70&amp;G70</f>
        <v>钦州港区管委11月</v>
      </c>
      <c r="AG70" s="157" t="s">
        <v>205</v>
      </c>
      <c r="AH70" s="157" t="s">
        <v>1980</v>
      </c>
      <c r="AI70" s="201" t="str">
        <f t="shared" ref="AI70:AI72" si="59">AG70&amp;Q70</f>
        <v>政府钦州港区管委</v>
      </c>
      <c r="AJ70" s="201" t="str">
        <f t="shared" ref="AJ70:AJ72" si="60">AH70&amp;Q70</f>
        <v>基础设施钦州港区管委</v>
      </c>
      <c r="AK70" s="7"/>
      <c r="AL70" s="157"/>
      <c r="AM70" s="157">
        <f t="shared" ref="AM70:AM72" si="61">IF(M70&gt;0,1,0)</f>
        <v>0</v>
      </c>
      <c r="AN70" s="157" t="e">
        <f>IF(#REF!&gt;0,1,0)</f>
        <v>#REF!</v>
      </c>
      <c r="AO70" s="157" t="e">
        <f>IF(#REF!&gt;0,1,0)</f>
        <v>#REF!</v>
      </c>
      <c r="AP70" s="157" t="e">
        <f>IF(#REF!&gt;0,1,0)</f>
        <v>#REF!</v>
      </c>
      <c r="AQ70" s="157" t="e">
        <f>IF(#REF!&gt;0,1,0)</f>
        <v>#REF!</v>
      </c>
      <c r="AR70" s="183"/>
      <c r="AV70" s="7" t="s">
        <v>1890</v>
      </c>
    </row>
    <row r="71" s="9" customFormat="1" ht="66.4" customHeight="1" spans="1:48">
      <c r="A71" s="23">
        <f>SUBTOTAL(3,C$10:C71)</f>
        <v>62</v>
      </c>
      <c r="B71" s="58" t="s">
        <v>3185</v>
      </c>
      <c r="C71" s="23" t="s">
        <v>79</v>
      </c>
      <c r="D71" s="66" t="s">
        <v>3186</v>
      </c>
      <c r="E71" s="23" t="s">
        <v>208</v>
      </c>
      <c r="F71" s="67">
        <v>400000</v>
      </c>
      <c r="G71" s="81" t="s">
        <v>283</v>
      </c>
      <c r="H71" s="67">
        <v>5000</v>
      </c>
      <c r="I71" s="67"/>
      <c r="J71" s="67"/>
      <c r="K71" s="244" t="s">
        <v>3182</v>
      </c>
      <c r="L71" s="244" t="s">
        <v>117</v>
      </c>
      <c r="M71" s="134"/>
      <c r="N71" s="134"/>
      <c r="O71" s="123" t="s">
        <v>1652</v>
      </c>
      <c r="P71" s="67" t="s">
        <v>3183</v>
      </c>
      <c r="Q71" s="67" t="s">
        <v>119</v>
      </c>
      <c r="R71" s="93" t="s">
        <v>3184</v>
      </c>
      <c r="S71" s="165"/>
      <c r="T71" s="161" t="s">
        <v>1977</v>
      </c>
      <c r="U71" s="161" t="s">
        <v>1978</v>
      </c>
      <c r="V71" s="158" t="str">
        <f t="shared" si="51"/>
        <v>交通港口水运</v>
      </c>
      <c r="W71" s="158" t="s">
        <v>1979</v>
      </c>
      <c r="X71" s="159"/>
      <c r="Y71" s="160"/>
      <c r="Z71" s="157"/>
      <c r="AA71" s="157"/>
      <c r="AB71" s="157"/>
      <c r="AC71" s="157"/>
      <c r="AD71" s="157"/>
      <c r="AE71" s="181"/>
      <c r="AF71" s="157" t="str">
        <f t="shared" si="58"/>
        <v>钦州港区管委11月</v>
      </c>
      <c r="AG71" s="157" t="s">
        <v>205</v>
      </c>
      <c r="AH71" s="157" t="s">
        <v>1980</v>
      </c>
      <c r="AI71" s="201" t="str">
        <f t="shared" si="59"/>
        <v>政府钦州港区管委</v>
      </c>
      <c r="AJ71" s="201" t="str">
        <f t="shared" si="60"/>
        <v>基础设施钦州港区管委</v>
      </c>
      <c r="AK71" s="7"/>
      <c r="AL71" s="157"/>
      <c r="AM71" s="157">
        <f t="shared" si="61"/>
        <v>0</v>
      </c>
      <c r="AN71" s="157" t="e">
        <f>IF(#REF!&gt;0,1,0)</f>
        <v>#REF!</v>
      </c>
      <c r="AO71" s="157" t="e">
        <f>IF(#REF!&gt;0,1,0)</f>
        <v>#REF!</v>
      </c>
      <c r="AP71" s="157" t="e">
        <f>IF(#REF!&gt;0,1,0)</f>
        <v>#REF!</v>
      </c>
      <c r="AQ71" s="157" t="e">
        <f>IF(#REF!&gt;0,1,0)</f>
        <v>#REF!</v>
      </c>
      <c r="AR71" s="183"/>
      <c r="AV71" s="7" t="s">
        <v>1890</v>
      </c>
    </row>
    <row r="72" s="6" customFormat="1" ht="86.25" customHeight="1" spans="1:49">
      <c r="A72" s="23">
        <f>SUBTOTAL(3,C$10:C72)</f>
        <v>63</v>
      </c>
      <c r="B72" s="123" t="s">
        <v>3187</v>
      </c>
      <c r="C72" s="67" t="s">
        <v>79</v>
      </c>
      <c r="D72" s="123" t="s">
        <v>3188</v>
      </c>
      <c r="E72" s="67" t="s">
        <v>81</v>
      </c>
      <c r="F72" s="67">
        <v>24980</v>
      </c>
      <c r="G72" s="81" t="s">
        <v>82</v>
      </c>
      <c r="H72" s="67">
        <v>2000</v>
      </c>
      <c r="I72" s="56"/>
      <c r="J72" s="127"/>
      <c r="K72" s="123" t="s">
        <v>253</v>
      </c>
      <c r="L72" s="112" t="s">
        <v>117</v>
      </c>
      <c r="M72" s="132"/>
      <c r="N72" s="132"/>
      <c r="O72" s="123" t="s">
        <v>3189</v>
      </c>
      <c r="P72" s="67" t="s">
        <v>1924</v>
      </c>
      <c r="Q72" s="67" t="s">
        <v>240</v>
      </c>
      <c r="R72" s="171" t="s">
        <v>3190</v>
      </c>
      <c r="S72" s="157"/>
      <c r="T72" s="158" t="s">
        <v>241</v>
      </c>
      <c r="U72" s="158" t="s">
        <v>91</v>
      </c>
      <c r="V72" s="158" t="str">
        <f t="shared" si="51"/>
        <v>工业高新区</v>
      </c>
      <c r="W72" s="158" t="str">
        <f t="shared" si="57"/>
        <v>工业</v>
      </c>
      <c r="X72" s="167"/>
      <c r="Y72" s="160"/>
      <c r="Z72" s="157"/>
      <c r="AA72" s="157"/>
      <c r="AB72" s="157"/>
      <c r="AC72" s="157"/>
      <c r="AD72" s="157"/>
      <c r="AE72" s="157"/>
      <c r="AF72" s="157" t="str">
        <f t="shared" si="58"/>
        <v>钦州高新区管委10月</v>
      </c>
      <c r="AG72" s="157" t="s">
        <v>92</v>
      </c>
      <c r="AH72" s="157" t="s">
        <v>93</v>
      </c>
      <c r="AI72" s="201" t="str">
        <f t="shared" si="59"/>
        <v>企业钦州高新区管委</v>
      </c>
      <c r="AJ72" s="201" t="str">
        <f t="shared" si="60"/>
        <v>产业钦州高新区管委</v>
      </c>
      <c r="AK72" s="201">
        <f>IF(I72&gt;0,1,0)</f>
        <v>0</v>
      </c>
      <c r="AL72" s="157"/>
      <c r="AM72" s="157">
        <f t="shared" si="61"/>
        <v>0</v>
      </c>
      <c r="AN72" s="157" t="e">
        <f>IF(#REF!&gt;0,1,0)</f>
        <v>#REF!</v>
      </c>
      <c r="AO72" s="157" t="e">
        <f>IF(#REF!&gt;0,1,0)</f>
        <v>#REF!</v>
      </c>
      <c r="AP72" s="157" t="e">
        <f>IF(#REF!&gt;0,1,0)</f>
        <v>#REF!</v>
      </c>
      <c r="AQ72" s="157" t="e">
        <f>IF(#REF!&gt;0,1,0)</f>
        <v>#REF!</v>
      </c>
      <c r="AR72" s="157"/>
      <c r="AS72" s="206"/>
      <c r="AT72" s="6" t="s">
        <v>1904</v>
      </c>
      <c r="AV72" s="228"/>
      <c r="AW72" s="229"/>
    </row>
    <row r="73" s="4" customFormat="1" ht="64.9" customHeight="1" spans="1:63">
      <c r="A73" s="23">
        <f>SUBTOTAL(3,C$7:C73)</f>
        <v>67</v>
      </c>
      <c r="B73" s="58" t="s">
        <v>3191</v>
      </c>
      <c r="C73" s="23" t="s">
        <v>562</v>
      </c>
      <c r="D73" s="88" t="s">
        <v>3192</v>
      </c>
      <c r="E73" s="23" t="s">
        <v>575</v>
      </c>
      <c r="F73" s="67">
        <v>20000</v>
      </c>
      <c r="G73" s="38">
        <v>600</v>
      </c>
      <c r="H73" s="90" t="s">
        <v>3193</v>
      </c>
      <c r="I73" s="38">
        <v>1500</v>
      </c>
      <c r="J73" s="36"/>
      <c r="K73" s="124" t="s">
        <v>3194</v>
      </c>
      <c r="L73" s="112" t="s">
        <v>3195</v>
      </c>
      <c r="M73" s="132"/>
      <c r="N73" s="132"/>
      <c r="O73" s="123" t="s">
        <v>3196</v>
      </c>
      <c r="P73" s="67" t="s">
        <v>3197</v>
      </c>
      <c r="Q73" s="67" t="s">
        <v>166</v>
      </c>
      <c r="R73" s="91" t="s">
        <v>3108</v>
      </c>
      <c r="S73" s="157"/>
      <c r="T73" s="158" t="s">
        <v>167</v>
      </c>
      <c r="U73" s="158" t="s">
        <v>91</v>
      </c>
      <c r="V73" s="158" t="str">
        <f t="shared" si="51"/>
        <v>工业保税港</v>
      </c>
      <c r="W73" s="158" t="str">
        <f t="shared" si="57"/>
        <v>工业</v>
      </c>
      <c r="X73" s="158"/>
      <c r="Y73" s="161"/>
      <c r="Z73" s="161"/>
      <c r="AA73" s="160"/>
      <c r="AB73" s="157"/>
      <c r="AC73" s="157"/>
      <c r="AD73" s="157"/>
      <c r="AE73" s="157"/>
      <c r="AF73" s="157"/>
      <c r="AG73" s="157"/>
      <c r="AH73" s="157"/>
      <c r="AI73" s="157"/>
      <c r="AJ73" s="157" t="s">
        <v>92</v>
      </c>
      <c r="AK73" s="203" t="s">
        <v>93</v>
      </c>
      <c r="AL73" s="201" t="str">
        <f t="shared" si="52"/>
        <v>企业钦州保税港区管委</v>
      </c>
      <c r="AM73" s="201" t="str">
        <f t="shared" ref="AM73:AM78" si="62">AK73&amp;Q73</f>
        <v>产业钦州保税港区管委</v>
      </c>
      <c r="AN73" s="204">
        <f t="shared" si="53"/>
        <v>0</v>
      </c>
      <c r="AO73" s="157" t="str">
        <f t="shared" si="54"/>
        <v>工业保税港1000</v>
      </c>
      <c r="AP73" s="157" t="str">
        <f t="shared" si="55"/>
        <v/>
      </c>
      <c r="AQ73" s="157" t="str">
        <f t="shared" si="56"/>
        <v/>
      </c>
      <c r="AR73" s="157"/>
      <c r="AS73" s="157">
        <f t="shared" ref="AS73:AS78" si="63">IF(M73&gt;0,1,0)</f>
        <v>0</v>
      </c>
      <c r="AT73" s="157" t="e">
        <f>IF(#REF!&gt;0,1,0)</f>
        <v>#REF!</v>
      </c>
      <c r="AU73" s="157" t="e">
        <f>IF(#REF!&gt;0,1,0)</f>
        <v>#REF!</v>
      </c>
      <c r="AV73" s="157" t="e">
        <f>IF(#REF!&gt;0,1,0)</f>
        <v>#REF!</v>
      </c>
      <c r="AW73" s="157" t="e">
        <f>IF(#REF!&gt;0,1,0)</f>
        <v>#REF!</v>
      </c>
      <c r="AX73" s="157"/>
      <c r="AY73" s="206"/>
      <c r="AZ73" s="7"/>
      <c r="BA73" s="204"/>
      <c r="BB73" s="227"/>
      <c r="BC73" s="204"/>
      <c r="BD73" s="204"/>
      <c r="BE73" s="204"/>
      <c r="BF73" s="7"/>
      <c r="BG73" s="7"/>
      <c r="BH73" s="7"/>
      <c r="BI73" s="7"/>
      <c r="BJ73" s="7"/>
      <c r="BK73" s="7"/>
    </row>
    <row r="74" s="4" customFormat="1" ht="88.5" customHeight="1" spans="1:51">
      <c r="A74" s="23">
        <f>SUBTOTAL(3,C$10:C74)</f>
        <v>65</v>
      </c>
      <c r="B74" s="34" t="s">
        <v>3198</v>
      </c>
      <c r="C74" s="59" t="s">
        <v>79</v>
      </c>
      <c r="D74" s="58" t="s">
        <v>3199</v>
      </c>
      <c r="E74" s="59" t="s">
        <v>81</v>
      </c>
      <c r="F74" s="59">
        <v>6266</v>
      </c>
      <c r="G74" s="83" t="s">
        <v>122</v>
      </c>
      <c r="H74" s="59">
        <v>1000</v>
      </c>
      <c r="I74" s="59"/>
      <c r="J74" s="61"/>
      <c r="K74" s="112" t="s">
        <v>3200</v>
      </c>
      <c r="L74" s="112" t="s">
        <v>3201</v>
      </c>
      <c r="M74" s="132">
        <v>7</v>
      </c>
      <c r="N74" s="132">
        <v>0</v>
      </c>
      <c r="O74" s="58" t="s">
        <v>1586</v>
      </c>
      <c r="P74" s="59" t="s">
        <v>2047</v>
      </c>
      <c r="Q74" s="59" t="s">
        <v>317</v>
      </c>
      <c r="R74" s="271" t="s">
        <v>3202</v>
      </c>
      <c r="S74" s="157"/>
      <c r="T74" s="158" t="s">
        <v>2042</v>
      </c>
      <c r="U74" s="158" t="s">
        <v>2017</v>
      </c>
      <c r="V74" s="158" t="str">
        <f t="shared" si="51"/>
        <v>城市基础设施供电工程</v>
      </c>
      <c r="W74" s="158" t="s">
        <v>2018</v>
      </c>
      <c r="X74" s="159"/>
      <c r="Y74" s="160"/>
      <c r="Z74" s="157"/>
      <c r="AA74" s="157"/>
      <c r="AB74" s="157"/>
      <c r="AC74" s="157"/>
      <c r="AD74" s="157"/>
      <c r="AE74" s="181"/>
      <c r="AF74" s="157" t="str">
        <f t="shared" ref="AF74:AF81" si="64">Q74&amp;G74</f>
        <v>浦北县人民政府6月</v>
      </c>
      <c r="AG74" s="157" t="s">
        <v>92</v>
      </c>
      <c r="AH74" s="157" t="s">
        <v>1980</v>
      </c>
      <c r="AI74" s="201" t="str">
        <f t="shared" ref="AI74:AI81" si="65">AG74&amp;Q74</f>
        <v>企业浦北县人民政府</v>
      </c>
      <c r="AJ74" s="201" t="str">
        <f t="shared" ref="AJ74:AJ81" si="66">AH74&amp;Q74</f>
        <v>基础设施浦北县人民政府</v>
      </c>
      <c r="AK74" s="201">
        <f t="shared" ref="AK74:AK79" si="67">IF(J74&gt;0,1,0)</f>
        <v>0</v>
      </c>
      <c r="AL74" s="157"/>
      <c r="AM74" s="157">
        <f t="shared" ref="AM74:AM81" si="68">IF(M74&gt;0,1,0)</f>
        <v>1</v>
      </c>
      <c r="AN74" s="157" t="e">
        <f>IF(#REF!&gt;0,1,0)</f>
        <v>#REF!</v>
      </c>
      <c r="AO74" s="157" t="e">
        <f>IF(#REF!&gt;0,1,0)</f>
        <v>#REF!</v>
      </c>
      <c r="AP74" s="157" t="e">
        <f>IF(#REF!&gt;0,1,0)</f>
        <v>#REF!</v>
      </c>
      <c r="AQ74" s="157" t="e">
        <f>IF(#REF!&gt;0,1,0)</f>
        <v>#REF!</v>
      </c>
      <c r="AR74" s="181"/>
      <c r="AS74" s="206"/>
      <c r="AT74" s="4" t="s">
        <v>1904</v>
      </c>
      <c r="AU74" s="206"/>
      <c r="AV74" s="225"/>
      <c r="AW74" s="206"/>
      <c r="AX74" s="206"/>
      <c r="AY74" s="206"/>
    </row>
    <row r="75" s="4" customFormat="1" ht="85.5" customHeight="1" spans="1:57">
      <c r="A75" s="23">
        <f>SUBTOTAL(3,C$7:C75)</f>
        <v>69</v>
      </c>
      <c r="B75" s="34" t="s">
        <v>3203</v>
      </c>
      <c r="C75" s="35" t="s">
        <v>562</v>
      </c>
      <c r="D75" s="231" t="s">
        <v>3204</v>
      </c>
      <c r="E75" s="35" t="s">
        <v>1038</v>
      </c>
      <c r="F75" s="35">
        <v>9982</v>
      </c>
      <c r="G75" s="35">
        <v>8000</v>
      </c>
      <c r="H75" s="54" t="s">
        <v>3205</v>
      </c>
      <c r="I75" s="35">
        <v>1500</v>
      </c>
      <c r="J75" s="111"/>
      <c r="K75" s="34" t="s">
        <v>3206</v>
      </c>
      <c r="L75" s="34" t="s">
        <v>3207</v>
      </c>
      <c r="M75" s="132">
        <f>124350/666.67</f>
        <v>186.524067379663</v>
      </c>
      <c r="N75" s="132">
        <v>186.52</v>
      </c>
      <c r="O75" s="34" t="s">
        <v>1040</v>
      </c>
      <c r="P75" s="35" t="s">
        <v>2027</v>
      </c>
      <c r="Q75" s="35" t="s">
        <v>498</v>
      </c>
      <c r="R75" s="34" t="s">
        <v>3208</v>
      </c>
      <c r="S75" s="157"/>
      <c r="T75" s="158" t="s">
        <v>2020</v>
      </c>
      <c r="U75" s="158" t="s">
        <v>2017</v>
      </c>
      <c r="V75" s="158" t="str">
        <f t="shared" ref="V75:V83" si="69">U75&amp;T75</f>
        <v>城市基础设施路网工程</v>
      </c>
      <c r="W75" s="158" t="s">
        <v>2021</v>
      </c>
      <c r="X75" s="158"/>
      <c r="Y75" s="161"/>
      <c r="Z75" s="161"/>
      <c r="AA75" s="160"/>
      <c r="AB75" s="157"/>
      <c r="AC75" s="157"/>
      <c r="AD75" s="157"/>
      <c r="AE75" s="157"/>
      <c r="AF75" s="157"/>
      <c r="AG75" s="157"/>
      <c r="AH75" s="157"/>
      <c r="AI75" s="157"/>
      <c r="AJ75" s="202" t="s">
        <v>205</v>
      </c>
      <c r="AK75" s="203" t="s">
        <v>1980</v>
      </c>
      <c r="AL75" s="201" t="str">
        <f t="shared" ref="AL75:AL78" si="70">AJ75&amp;Q75</f>
        <v>政府市滨海新城管委</v>
      </c>
      <c r="AM75" s="201" t="str">
        <f t="shared" si="62"/>
        <v>基础设施市滨海新城管委</v>
      </c>
      <c r="AN75" s="204">
        <f>IF(J75&gt;0,1,0)</f>
        <v>0</v>
      </c>
      <c r="AO75" s="157" t="str">
        <f>IF(I75&lt;1000,"",V75&amp;"1000")</f>
        <v>城市基础设施路网工程1000</v>
      </c>
      <c r="AP75" s="157" t="str">
        <f>IF(I75&lt;2000,"",V75&amp;"2000")</f>
        <v/>
      </c>
      <c r="AQ75" s="157" t="str">
        <f>IF(I75&lt;5000,"",V75&amp;"5000")</f>
        <v/>
      </c>
      <c r="AR75" s="157"/>
      <c r="AS75" s="157">
        <f t="shared" si="63"/>
        <v>1</v>
      </c>
      <c r="AT75" s="157" t="e">
        <f>IF(#REF!&gt;0,1,0)</f>
        <v>#REF!</v>
      </c>
      <c r="AU75" s="157" t="e">
        <f>IF(#REF!&gt;0,1,0)</f>
        <v>#REF!</v>
      </c>
      <c r="AV75" s="157" t="e">
        <f>IF(#REF!&gt;0,1,0)</f>
        <v>#REF!</v>
      </c>
      <c r="AW75" s="157" t="e">
        <f>IF(#REF!&gt;0,1,0)</f>
        <v>#REF!</v>
      </c>
      <c r="AX75" s="181"/>
      <c r="AY75" s="206"/>
      <c r="AZ75" s="7"/>
      <c r="BA75" s="7"/>
      <c r="BB75" s="7"/>
      <c r="BC75" s="7"/>
      <c r="BD75" s="7"/>
      <c r="BE75" s="7"/>
    </row>
    <row r="76" s="6" customFormat="1" ht="55.9" customHeight="1" spans="1:49">
      <c r="A76" s="23">
        <f>SUBTOTAL(3,C$10:C76)</f>
        <v>67</v>
      </c>
      <c r="B76" s="34" t="s">
        <v>3209</v>
      </c>
      <c r="C76" s="35" t="s">
        <v>79</v>
      </c>
      <c r="D76" s="34" t="s">
        <v>3210</v>
      </c>
      <c r="E76" s="35" t="s">
        <v>112</v>
      </c>
      <c r="F76" s="36">
        <v>10000</v>
      </c>
      <c r="G76" s="83" t="s">
        <v>263</v>
      </c>
      <c r="H76" s="36">
        <v>3000</v>
      </c>
      <c r="I76" s="36"/>
      <c r="J76" s="56"/>
      <c r="K76" s="112" t="s">
        <v>3211</v>
      </c>
      <c r="L76" s="112" t="s">
        <v>3212</v>
      </c>
      <c r="M76" s="132">
        <v>50</v>
      </c>
      <c r="N76" s="132">
        <v>50</v>
      </c>
      <c r="O76" s="34" t="s">
        <v>280</v>
      </c>
      <c r="P76" s="35" t="s">
        <v>1939</v>
      </c>
      <c r="Q76" s="35" t="s">
        <v>269</v>
      </c>
      <c r="R76" s="171" t="s">
        <v>3213</v>
      </c>
      <c r="S76" s="157"/>
      <c r="T76" s="158" t="s">
        <v>270</v>
      </c>
      <c r="U76" s="158" t="s">
        <v>91</v>
      </c>
      <c r="V76" s="158" t="str">
        <f t="shared" si="69"/>
        <v>工业灵山县</v>
      </c>
      <c r="W76" s="158" t="str">
        <f>U76</f>
        <v>工业</v>
      </c>
      <c r="X76" s="167"/>
      <c r="Y76" s="160"/>
      <c r="Z76" s="157"/>
      <c r="AA76" s="157"/>
      <c r="AB76" s="157"/>
      <c r="AC76" s="157"/>
      <c r="AD76" s="157"/>
      <c r="AE76" s="157"/>
      <c r="AF76" s="157" t="str">
        <f t="shared" si="64"/>
        <v>灵山县人民政府7月</v>
      </c>
      <c r="AG76" s="157" t="s">
        <v>92</v>
      </c>
      <c r="AH76" s="157" t="s">
        <v>93</v>
      </c>
      <c r="AI76" s="201" t="str">
        <f t="shared" si="65"/>
        <v>企业灵山县人民政府</v>
      </c>
      <c r="AJ76" s="201" t="str">
        <f t="shared" si="66"/>
        <v>产业灵山县人民政府</v>
      </c>
      <c r="AK76" s="201">
        <f t="shared" si="67"/>
        <v>0</v>
      </c>
      <c r="AL76" s="157"/>
      <c r="AM76" s="157">
        <f t="shared" si="68"/>
        <v>1</v>
      </c>
      <c r="AN76" s="157" t="e">
        <f>IF(#REF!&gt;0,1,0)</f>
        <v>#REF!</v>
      </c>
      <c r="AO76" s="157" t="e">
        <f>IF(#REF!&gt;0,1,0)</f>
        <v>#REF!</v>
      </c>
      <c r="AP76" s="157" t="e">
        <f>IF(#REF!&gt;0,1,0)</f>
        <v>#REF!</v>
      </c>
      <c r="AQ76" s="157" t="e">
        <f>IF(#REF!&gt;0,1,0)</f>
        <v>#REF!</v>
      </c>
      <c r="AR76" s="157"/>
      <c r="AS76" s="206"/>
      <c r="AT76" s="6" t="s">
        <v>1895</v>
      </c>
      <c r="AV76" s="228"/>
      <c r="AW76" s="229"/>
    </row>
    <row r="77" s="4" customFormat="1" ht="67.5" customHeight="1" spans="1:57">
      <c r="A77" s="23">
        <f>SUBTOTAL(3,C$7:C77)</f>
        <v>71</v>
      </c>
      <c r="B77" s="34" t="s">
        <v>3214</v>
      </c>
      <c r="C77" s="35" t="s">
        <v>562</v>
      </c>
      <c r="D77" s="232" t="s">
        <v>3215</v>
      </c>
      <c r="E77" s="35" t="s">
        <v>588</v>
      </c>
      <c r="F77" s="35">
        <v>57300</v>
      </c>
      <c r="G77" s="35">
        <v>15000</v>
      </c>
      <c r="H77" s="54" t="s">
        <v>3216</v>
      </c>
      <c r="I77" s="35">
        <v>2500</v>
      </c>
      <c r="J77" s="111"/>
      <c r="K77" s="34" t="s">
        <v>3217</v>
      </c>
      <c r="L77" s="112" t="s">
        <v>3218</v>
      </c>
      <c r="M77" s="132"/>
      <c r="N77" s="132"/>
      <c r="O77" s="34" t="s">
        <v>785</v>
      </c>
      <c r="P77" s="67" t="s">
        <v>3219</v>
      </c>
      <c r="Q77" s="35" t="s">
        <v>317</v>
      </c>
      <c r="R77" s="91" t="s">
        <v>3220</v>
      </c>
      <c r="S77" s="157"/>
      <c r="T77" s="158" t="s">
        <v>2039</v>
      </c>
      <c r="U77" s="158" t="s">
        <v>2017</v>
      </c>
      <c r="V77" s="158" t="str">
        <f t="shared" si="69"/>
        <v>城市基础设施供水工程</v>
      </c>
      <c r="W77" s="158" t="s">
        <v>2018</v>
      </c>
      <c r="X77" s="158"/>
      <c r="Y77" s="161"/>
      <c r="Z77" s="161"/>
      <c r="AA77" s="160"/>
      <c r="AB77" s="157"/>
      <c r="AC77" s="157"/>
      <c r="AD77" s="157"/>
      <c r="AE77" s="157"/>
      <c r="AF77" s="157"/>
      <c r="AG77" s="157"/>
      <c r="AH77" s="157"/>
      <c r="AI77" s="157"/>
      <c r="AJ77" s="201" t="s">
        <v>205</v>
      </c>
      <c r="AK77" s="203" t="s">
        <v>2140</v>
      </c>
      <c r="AL77" s="201" t="str">
        <f t="shared" si="70"/>
        <v>政府浦北县人民政府</v>
      </c>
      <c r="AM77" s="201" t="str">
        <f t="shared" si="62"/>
        <v>民生设施浦北县人民政府</v>
      </c>
      <c r="AN77" s="204">
        <f>IF(J77&gt;0,1,0)</f>
        <v>0</v>
      </c>
      <c r="AO77" s="157" t="str">
        <f>IF(I77&lt;1000,"",V77&amp;"1000")</f>
        <v>城市基础设施供水工程1000</v>
      </c>
      <c r="AP77" s="157" t="str">
        <f>IF(I77&lt;2000,"",V77&amp;"2000")</f>
        <v>城市基础设施供水工程2000</v>
      </c>
      <c r="AQ77" s="157" t="str">
        <f>IF(I77&lt;5000,"",V77&amp;"5000")</f>
        <v/>
      </c>
      <c r="AR77" s="157"/>
      <c r="AS77" s="157">
        <f t="shared" si="63"/>
        <v>0</v>
      </c>
      <c r="AT77" s="157" t="e">
        <f>IF(#REF!&gt;0,1,0)</f>
        <v>#REF!</v>
      </c>
      <c r="AU77" s="157" t="e">
        <f>IF(#REF!&gt;0,1,0)</f>
        <v>#REF!</v>
      </c>
      <c r="AV77" s="157" t="e">
        <f>IF(#REF!&gt;0,1,0)</f>
        <v>#REF!</v>
      </c>
      <c r="AW77" s="157" t="e">
        <f>IF(#REF!&gt;0,1,0)</f>
        <v>#REF!</v>
      </c>
      <c r="AX77" s="181"/>
      <c r="AY77" s="206"/>
      <c r="AZ77" s="7"/>
      <c r="BA77" s="206"/>
      <c r="BB77" s="206"/>
      <c r="BC77" s="206"/>
      <c r="BD77" s="206"/>
      <c r="BE77" s="206"/>
    </row>
    <row r="78" s="4" customFormat="1" ht="74.25" customHeight="1" spans="1:57">
      <c r="A78" s="23">
        <f>SUBTOTAL(3,C$7:C78)</f>
        <v>72</v>
      </c>
      <c r="B78" s="34" t="s">
        <v>3221</v>
      </c>
      <c r="C78" s="35" t="s">
        <v>562</v>
      </c>
      <c r="D78" s="232" t="s">
        <v>3222</v>
      </c>
      <c r="E78" s="35" t="s">
        <v>588</v>
      </c>
      <c r="F78" s="35">
        <v>110200</v>
      </c>
      <c r="G78" s="35">
        <v>51980</v>
      </c>
      <c r="H78" s="54" t="s">
        <v>3223</v>
      </c>
      <c r="I78" s="35">
        <v>500</v>
      </c>
      <c r="J78" s="67"/>
      <c r="K78" s="34" t="s">
        <v>3224</v>
      </c>
      <c r="L78" s="112" t="s">
        <v>3225</v>
      </c>
      <c r="M78" s="132"/>
      <c r="N78" s="132"/>
      <c r="O78" s="34" t="s">
        <v>785</v>
      </c>
      <c r="P78" s="67" t="s">
        <v>2038</v>
      </c>
      <c r="Q78" s="35" t="s">
        <v>317</v>
      </c>
      <c r="R78" s="91" t="s">
        <v>3220</v>
      </c>
      <c r="S78" s="157"/>
      <c r="T78" s="158" t="s">
        <v>2051</v>
      </c>
      <c r="U78" s="158" t="s">
        <v>2017</v>
      </c>
      <c r="V78" s="158" t="str">
        <f t="shared" si="69"/>
        <v>城市基础设施其他</v>
      </c>
      <c r="W78" s="158" t="s">
        <v>2018</v>
      </c>
      <c r="X78" s="158"/>
      <c r="Y78" s="157"/>
      <c r="Z78" s="159"/>
      <c r="AA78" s="160"/>
      <c r="AB78" s="157"/>
      <c r="AC78" s="157"/>
      <c r="AD78" s="157"/>
      <c r="AE78" s="157"/>
      <c r="AF78" s="157"/>
      <c r="AG78" s="157"/>
      <c r="AH78" s="157"/>
      <c r="AI78" s="157"/>
      <c r="AJ78" s="201" t="s">
        <v>205</v>
      </c>
      <c r="AK78" s="203" t="s">
        <v>2140</v>
      </c>
      <c r="AL78" s="201" t="str">
        <f t="shared" si="70"/>
        <v>政府浦北县人民政府</v>
      </c>
      <c r="AM78" s="201" t="str">
        <f t="shared" si="62"/>
        <v>民生设施浦北县人民政府</v>
      </c>
      <c r="AN78" s="204"/>
      <c r="AO78" s="157"/>
      <c r="AP78" s="157"/>
      <c r="AQ78" s="157"/>
      <c r="AR78" s="157"/>
      <c r="AS78" s="157">
        <f t="shared" si="63"/>
        <v>0</v>
      </c>
      <c r="AT78" s="157" t="e">
        <f>IF(#REF!&gt;0,1,0)</f>
        <v>#REF!</v>
      </c>
      <c r="AU78" s="157" t="e">
        <f>IF(#REF!&gt;0,1,0)</f>
        <v>#REF!</v>
      </c>
      <c r="AV78" s="157" t="e">
        <f>IF(#REF!&gt;0,1,0)</f>
        <v>#REF!</v>
      </c>
      <c r="AW78" s="157" t="e">
        <f>IF(#REF!&gt;0,1,0)</f>
        <v>#REF!</v>
      </c>
      <c r="AX78" s="181"/>
      <c r="AY78" s="206"/>
      <c r="AZ78" s="7"/>
      <c r="BA78" s="7" t="s">
        <v>1890</v>
      </c>
      <c r="BB78" s="227"/>
      <c r="BC78" s="204"/>
      <c r="BD78" s="204"/>
      <c r="BE78" s="204"/>
    </row>
    <row r="79" s="4" customFormat="1" ht="53.25" customHeight="1" spans="1:51">
      <c r="A79" s="23">
        <f>SUBTOTAL(3,C$10:C79)</f>
        <v>70</v>
      </c>
      <c r="B79" s="34" t="s">
        <v>3226</v>
      </c>
      <c r="C79" s="87" t="s">
        <v>79</v>
      </c>
      <c r="D79" s="34" t="s">
        <v>3227</v>
      </c>
      <c r="E79" s="35" t="s">
        <v>112</v>
      </c>
      <c r="F79" s="36">
        <v>42000</v>
      </c>
      <c r="G79" s="81" t="s">
        <v>353</v>
      </c>
      <c r="H79" s="36">
        <v>10000</v>
      </c>
      <c r="I79" s="36"/>
      <c r="J79" s="111"/>
      <c r="K79" s="112" t="s">
        <v>3228</v>
      </c>
      <c r="L79" s="112" t="s">
        <v>3229</v>
      </c>
      <c r="M79" s="132">
        <v>700</v>
      </c>
      <c r="N79" s="132">
        <v>700</v>
      </c>
      <c r="O79" s="34" t="s">
        <v>3230</v>
      </c>
      <c r="P79" s="35" t="s">
        <v>3231</v>
      </c>
      <c r="Q79" s="35" t="s">
        <v>359</v>
      </c>
      <c r="R79" s="93" t="s">
        <v>3232</v>
      </c>
      <c r="S79" s="157"/>
      <c r="T79" s="158" t="s">
        <v>360</v>
      </c>
      <c r="U79" s="158" t="s">
        <v>420</v>
      </c>
      <c r="V79" s="158" t="str">
        <f t="shared" si="69"/>
        <v>能源钦南区</v>
      </c>
      <c r="W79" s="158" t="s">
        <v>91</v>
      </c>
      <c r="X79" s="159"/>
      <c r="Y79" s="160"/>
      <c r="Z79" s="157"/>
      <c r="AA79" s="157"/>
      <c r="AB79" s="157"/>
      <c r="AC79" s="157"/>
      <c r="AD79" s="157"/>
      <c r="AE79" s="181"/>
      <c r="AF79" s="157" t="str">
        <f t="shared" si="64"/>
        <v>钦南区人民政府2月</v>
      </c>
      <c r="AG79" s="157" t="s">
        <v>92</v>
      </c>
      <c r="AH79" s="157" t="s">
        <v>1980</v>
      </c>
      <c r="AI79" s="201" t="str">
        <f t="shared" si="65"/>
        <v>企业钦南区人民政府</v>
      </c>
      <c r="AJ79" s="201" t="str">
        <f t="shared" si="66"/>
        <v>基础设施钦南区人民政府</v>
      </c>
      <c r="AK79" s="201">
        <f t="shared" si="67"/>
        <v>0</v>
      </c>
      <c r="AL79" s="157"/>
      <c r="AM79" s="157">
        <f t="shared" si="68"/>
        <v>1</v>
      </c>
      <c r="AN79" s="157" t="e">
        <f>IF(#REF!&gt;0,1,0)</f>
        <v>#REF!</v>
      </c>
      <c r="AO79" s="157" t="e">
        <f>IF(#REF!&gt;0,1,0)</f>
        <v>#REF!</v>
      </c>
      <c r="AP79" s="157" t="e">
        <f>IF(#REF!&gt;0,1,0)</f>
        <v>#REF!</v>
      </c>
      <c r="AQ79" s="157" t="e">
        <f>IF(#REF!&gt;0,1,0)</f>
        <v>#REF!</v>
      </c>
      <c r="AR79" s="181"/>
      <c r="AS79" s="206"/>
      <c r="AU79" s="6"/>
      <c r="AV79" s="228"/>
      <c r="AW79" s="229"/>
      <c r="AX79" s="6"/>
      <c r="AY79" s="6"/>
    </row>
    <row r="80" s="4" customFormat="1" ht="66" customHeight="1" spans="1:45">
      <c r="A80" s="23">
        <f>SUBTOTAL(3,C$10:C80)</f>
        <v>71</v>
      </c>
      <c r="B80" s="34" t="s">
        <v>3233</v>
      </c>
      <c r="C80" s="35" t="s">
        <v>79</v>
      </c>
      <c r="D80" s="34" t="s">
        <v>3234</v>
      </c>
      <c r="E80" s="35" t="s">
        <v>112</v>
      </c>
      <c r="F80" s="36">
        <v>9500</v>
      </c>
      <c r="G80" s="83" t="s">
        <v>122</v>
      </c>
      <c r="H80" s="36">
        <v>3000</v>
      </c>
      <c r="I80" s="36"/>
      <c r="J80" s="67"/>
      <c r="K80" s="112" t="s">
        <v>3235</v>
      </c>
      <c r="L80" s="112" t="s">
        <v>3236</v>
      </c>
      <c r="M80" s="252">
        <v>74.37</v>
      </c>
      <c r="N80" s="252">
        <v>74.37</v>
      </c>
      <c r="O80" s="34" t="s">
        <v>3237</v>
      </c>
      <c r="P80" s="35" t="s">
        <v>3238</v>
      </c>
      <c r="Q80" s="35" t="s">
        <v>359</v>
      </c>
      <c r="R80" s="93" t="s">
        <v>3239</v>
      </c>
      <c r="S80" s="157"/>
      <c r="T80" s="158" t="s">
        <v>360</v>
      </c>
      <c r="U80" s="158" t="s">
        <v>420</v>
      </c>
      <c r="V80" s="158" t="str">
        <f t="shared" si="69"/>
        <v>能源钦南区</v>
      </c>
      <c r="W80" s="158" t="s">
        <v>91</v>
      </c>
      <c r="X80" s="159"/>
      <c r="Y80" s="160"/>
      <c r="Z80" s="157"/>
      <c r="AA80" s="157"/>
      <c r="AB80" s="157"/>
      <c r="AC80" s="157"/>
      <c r="AD80" s="157"/>
      <c r="AE80" s="181"/>
      <c r="AF80" s="157" t="str">
        <f t="shared" si="64"/>
        <v>钦南区人民政府6月</v>
      </c>
      <c r="AG80" s="157" t="s">
        <v>92</v>
      </c>
      <c r="AH80" s="157" t="s">
        <v>2140</v>
      </c>
      <c r="AI80" s="201" t="str">
        <f t="shared" si="65"/>
        <v>企业钦南区人民政府</v>
      </c>
      <c r="AJ80" s="201" t="str">
        <f t="shared" si="66"/>
        <v>民生设施钦南区人民政府</v>
      </c>
      <c r="AK80" s="201"/>
      <c r="AL80" s="157"/>
      <c r="AM80" s="157">
        <f t="shared" si="68"/>
        <v>1</v>
      </c>
      <c r="AN80" s="157" t="e">
        <f>IF(#REF!&gt;0,1,0)</f>
        <v>#REF!</v>
      </c>
      <c r="AO80" s="157" t="e">
        <f>IF(#REF!&gt;0,1,0)</f>
        <v>#REF!</v>
      </c>
      <c r="AP80" s="157" t="e">
        <f>IF(#REF!&gt;0,1,0)</f>
        <v>#REF!</v>
      </c>
      <c r="AQ80" s="157" t="e">
        <f>IF(#REF!&gt;0,1,0)</f>
        <v>#REF!</v>
      </c>
      <c r="AR80" s="181"/>
      <c r="AS80" s="206"/>
    </row>
    <row r="81" s="4" customFormat="1" ht="69.75" customHeight="1" spans="1:46">
      <c r="A81" s="23">
        <f>SUBTOTAL(3,C$10:C81)</f>
        <v>72</v>
      </c>
      <c r="B81" s="34" t="s">
        <v>3240</v>
      </c>
      <c r="C81" s="87" t="s">
        <v>79</v>
      </c>
      <c r="D81" s="34" t="s">
        <v>3241</v>
      </c>
      <c r="E81" s="35" t="s">
        <v>81</v>
      </c>
      <c r="F81" s="36">
        <v>32000</v>
      </c>
      <c r="G81" s="81" t="s">
        <v>209</v>
      </c>
      <c r="H81" s="36">
        <v>5000</v>
      </c>
      <c r="I81" s="36"/>
      <c r="J81" s="111"/>
      <c r="K81" s="112" t="s">
        <v>132</v>
      </c>
      <c r="L81" s="112" t="s">
        <v>3242</v>
      </c>
      <c r="M81" s="252">
        <v>200</v>
      </c>
      <c r="N81" s="252"/>
      <c r="O81" s="34" t="s">
        <v>3243</v>
      </c>
      <c r="P81" s="35" t="s">
        <v>3244</v>
      </c>
      <c r="Q81" s="35" t="s">
        <v>359</v>
      </c>
      <c r="R81" s="93" t="s">
        <v>3232</v>
      </c>
      <c r="S81" s="157"/>
      <c r="T81" s="158" t="s">
        <v>2110</v>
      </c>
      <c r="U81" s="158" t="s">
        <v>459</v>
      </c>
      <c r="V81" s="158" t="str">
        <f t="shared" si="69"/>
        <v>服务业商贸流通</v>
      </c>
      <c r="W81" s="158" t="str">
        <f>T81</f>
        <v>商贸流通</v>
      </c>
      <c r="X81" s="161"/>
      <c r="Y81" s="160"/>
      <c r="Z81" s="157"/>
      <c r="AA81" s="157"/>
      <c r="AB81" s="157"/>
      <c r="AC81" s="157"/>
      <c r="AD81" s="157"/>
      <c r="AE81" s="181"/>
      <c r="AF81" s="157" t="str">
        <f t="shared" si="64"/>
        <v>钦南区人民政府8月</v>
      </c>
      <c r="AG81" s="157" t="s">
        <v>92</v>
      </c>
      <c r="AH81" s="157" t="s">
        <v>93</v>
      </c>
      <c r="AI81" s="201" t="str">
        <f t="shared" si="65"/>
        <v>企业钦南区人民政府</v>
      </c>
      <c r="AJ81" s="201" t="str">
        <f t="shared" si="66"/>
        <v>产业钦南区人民政府</v>
      </c>
      <c r="AK81" s="201">
        <f>IF(J81&gt;0,1,0)</f>
        <v>0</v>
      </c>
      <c r="AL81" s="157"/>
      <c r="AM81" s="157">
        <f t="shared" si="68"/>
        <v>1</v>
      </c>
      <c r="AN81" s="157" t="e">
        <f>IF(#REF!&gt;0,1,0)</f>
        <v>#REF!</v>
      </c>
      <c r="AO81" s="157" t="e">
        <f>IF(#REF!&gt;0,1,0)</f>
        <v>#REF!</v>
      </c>
      <c r="AP81" s="157" t="e">
        <f>IF(#REF!&gt;0,1,0)</f>
        <v>#REF!</v>
      </c>
      <c r="AQ81" s="157" t="e">
        <f>IF(#REF!&gt;0,1,0)</f>
        <v>#REF!</v>
      </c>
      <c r="AR81" s="181"/>
      <c r="AS81" s="206"/>
      <c r="AT81" s="4" t="s">
        <v>1917</v>
      </c>
    </row>
    <row r="82" s="9" customFormat="1" ht="61.5" customHeight="1" spans="1:50">
      <c r="A82" s="23">
        <f>SUBTOTAL(3,C$7:C82)</f>
        <v>76</v>
      </c>
      <c r="B82" s="86" t="s">
        <v>3245</v>
      </c>
      <c r="C82" s="87" t="s">
        <v>562</v>
      </c>
      <c r="D82" s="233" t="s">
        <v>3246</v>
      </c>
      <c r="E82" s="87" t="s">
        <v>1049</v>
      </c>
      <c r="F82" s="234">
        <v>99600</v>
      </c>
      <c r="G82" s="234">
        <v>46325</v>
      </c>
      <c r="H82" s="54" t="s">
        <v>321</v>
      </c>
      <c r="I82" s="234">
        <v>1000</v>
      </c>
      <c r="J82" s="134"/>
      <c r="K82" s="125" t="s">
        <v>3247</v>
      </c>
      <c r="L82" s="125" t="s">
        <v>2066</v>
      </c>
      <c r="M82" s="253">
        <v>400</v>
      </c>
      <c r="N82" s="253">
        <v>200</v>
      </c>
      <c r="O82" s="86" t="s">
        <v>3248</v>
      </c>
      <c r="P82" s="87" t="s">
        <v>3249</v>
      </c>
      <c r="Q82" s="35" t="s">
        <v>359</v>
      </c>
      <c r="R82" s="91" t="s">
        <v>3250</v>
      </c>
      <c r="S82" s="165"/>
      <c r="T82" s="158" t="s">
        <v>360</v>
      </c>
      <c r="U82" s="158" t="s">
        <v>91</v>
      </c>
      <c r="V82" s="158" t="str">
        <f t="shared" si="69"/>
        <v>工业钦南区</v>
      </c>
      <c r="W82" s="158" t="str">
        <f>U82</f>
        <v>工业</v>
      </c>
      <c r="X82" s="158"/>
      <c r="Y82" s="165"/>
      <c r="Z82" s="169"/>
      <c r="AA82" s="165"/>
      <c r="AB82" s="165"/>
      <c r="AC82" s="165"/>
      <c r="AD82" s="165"/>
      <c r="AE82" s="165"/>
      <c r="AF82" s="169"/>
      <c r="AG82" s="169"/>
      <c r="AH82" s="169"/>
      <c r="AI82" s="165"/>
      <c r="AJ82" s="157" t="s">
        <v>92</v>
      </c>
      <c r="AK82" s="203" t="s">
        <v>93</v>
      </c>
      <c r="AL82" s="201" t="str">
        <f t="shared" ref="AL82:AL85" si="71">AJ82&amp;Q82</f>
        <v>企业钦南区人民政府</v>
      </c>
      <c r="AM82" s="201" t="str">
        <f t="shared" ref="AM82:AM85" si="72">AK82&amp;Q82</f>
        <v>产业钦南区人民政府</v>
      </c>
      <c r="AO82" s="157"/>
      <c r="AP82" s="157"/>
      <c r="AQ82" s="157"/>
      <c r="AR82" s="157"/>
      <c r="AS82" s="157">
        <f t="shared" ref="AS82:AS85" si="73">IF(M82&gt;0,1,0)</f>
        <v>1</v>
      </c>
      <c r="AT82" s="157" t="e">
        <f>IF(#REF!&gt;0,1,0)</f>
        <v>#REF!</v>
      </c>
      <c r="AU82" s="157" t="e">
        <f>IF(#REF!&gt;0,1,0)</f>
        <v>#REF!</v>
      </c>
      <c r="AV82" s="157" t="e">
        <f>IF(#REF!&gt;0,1,0)</f>
        <v>#REF!</v>
      </c>
      <c r="AW82" s="157" t="e">
        <f>IF(#REF!&gt;0,1,0)</f>
        <v>#REF!</v>
      </c>
      <c r="AX82" s="181"/>
    </row>
    <row r="83" s="4" customFormat="1" ht="81" customHeight="1" spans="1:57">
      <c r="A83" s="23">
        <f>SUBTOTAL(3,C$7:C83)</f>
        <v>77</v>
      </c>
      <c r="B83" s="34" t="s">
        <v>3251</v>
      </c>
      <c r="C83" s="35" t="s">
        <v>562</v>
      </c>
      <c r="D83" s="55" t="s">
        <v>3252</v>
      </c>
      <c r="E83" s="35" t="s">
        <v>1049</v>
      </c>
      <c r="F83" s="36">
        <v>12000</v>
      </c>
      <c r="G83" s="36">
        <v>1600</v>
      </c>
      <c r="H83" s="171" t="s">
        <v>3253</v>
      </c>
      <c r="I83" s="36">
        <v>2000</v>
      </c>
      <c r="J83" s="50"/>
      <c r="K83" s="112" t="s">
        <v>3254</v>
      </c>
      <c r="L83" s="112" t="s">
        <v>3255</v>
      </c>
      <c r="M83" s="132">
        <v>399</v>
      </c>
      <c r="N83" s="132"/>
      <c r="O83" s="34" t="s">
        <v>3256</v>
      </c>
      <c r="P83" s="35" t="s">
        <v>3257</v>
      </c>
      <c r="Q83" s="35" t="s">
        <v>359</v>
      </c>
      <c r="R83" s="91" t="s">
        <v>3258</v>
      </c>
      <c r="S83" s="157"/>
      <c r="T83" s="158" t="s">
        <v>2110</v>
      </c>
      <c r="U83" s="158" t="s">
        <v>459</v>
      </c>
      <c r="V83" s="158" t="str">
        <f t="shared" si="69"/>
        <v>服务业商贸流通</v>
      </c>
      <c r="W83" s="158" t="str">
        <f>T83</f>
        <v>商贸流通</v>
      </c>
      <c r="X83" s="158"/>
      <c r="Y83" s="157"/>
      <c r="Z83" s="272"/>
      <c r="AA83" s="160"/>
      <c r="AB83" s="157"/>
      <c r="AC83" s="157"/>
      <c r="AD83" s="157"/>
      <c r="AE83" s="157"/>
      <c r="AF83" s="157"/>
      <c r="AG83" s="157"/>
      <c r="AH83" s="157"/>
      <c r="AI83" s="157"/>
      <c r="AJ83" s="157" t="s">
        <v>92</v>
      </c>
      <c r="AK83" s="203" t="s">
        <v>93</v>
      </c>
      <c r="AL83" s="201" t="str">
        <f t="shared" si="71"/>
        <v>企业钦南区人民政府</v>
      </c>
      <c r="AM83" s="201" t="str">
        <f t="shared" si="72"/>
        <v>产业钦南区人民政府</v>
      </c>
      <c r="AN83" s="204">
        <f t="shared" ref="AN83:AN88" si="74">IF(J83&gt;0,1,0)</f>
        <v>0</v>
      </c>
      <c r="AO83" s="157" t="str">
        <f t="shared" ref="AO83:AO88" si="75">IF(I83&lt;1000,"",V83&amp;"1000")</f>
        <v>服务业商贸流通1000</v>
      </c>
      <c r="AP83" s="157" t="str">
        <f t="shared" ref="AP83:AP88" si="76">IF(I83&lt;2000,"",V83&amp;"2000")</f>
        <v>服务业商贸流通2000</v>
      </c>
      <c r="AQ83" s="157" t="str">
        <f t="shared" ref="AQ83:AQ88" si="77">IF(I83&lt;5000,"",V83&amp;"5000")</f>
        <v/>
      </c>
      <c r="AR83" s="157"/>
      <c r="AS83" s="157">
        <f t="shared" si="73"/>
        <v>1</v>
      </c>
      <c r="AT83" s="157" t="e">
        <f>IF(#REF!&gt;0,1,0)</f>
        <v>#REF!</v>
      </c>
      <c r="AU83" s="157" t="e">
        <f>IF(#REF!&gt;0,1,0)</f>
        <v>#REF!</v>
      </c>
      <c r="AV83" s="157" t="e">
        <f>IF(#REF!&gt;0,1,0)</f>
        <v>#REF!</v>
      </c>
      <c r="AW83" s="157" t="e">
        <f>IF(#REF!&gt;0,1,0)</f>
        <v>#REF!</v>
      </c>
      <c r="AX83" s="161"/>
      <c r="AY83" s="206"/>
      <c r="AZ83" s="7"/>
      <c r="BA83" s="206"/>
      <c r="BB83" s="206"/>
      <c r="BC83" s="206"/>
      <c r="BD83" s="206"/>
      <c r="BE83" s="206"/>
    </row>
    <row r="84" s="4" customFormat="1" ht="98.25" customHeight="1" spans="1:62">
      <c r="A84" s="23">
        <f>SUBTOTAL(3,C$8:C84)</f>
        <v>77</v>
      </c>
      <c r="B84" s="34" t="s">
        <v>3259</v>
      </c>
      <c r="C84" s="35" t="s">
        <v>810</v>
      </c>
      <c r="D84" s="55" t="s">
        <v>3260</v>
      </c>
      <c r="E84" s="35" t="s">
        <v>827</v>
      </c>
      <c r="F84" s="38">
        <v>16146</v>
      </c>
      <c r="G84" s="38">
        <v>15146</v>
      </c>
      <c r="H84" s="81" t="s">
        <v>244</v>
      </c>
      <c r="I84" s="38">
        <v>1000</v>
      </c>
      <c r="J84" s="111"/>
      <c r="K84" s="90" t="s">
        <v>3261</v>
      </c>
      <c r="L84" s="90" t="s">
        <v>3262</v>
      </c>
      <c r="M84" s="132">
        <v>628.665</v>
      </c>
      <c r="N84" s="132">
        <v>448.665</v>
      </c>
      <c r="O84" s="34" t="s">
        <v>785</v>
      </c>
      <c r="P84" s="35" t="s">
        <v>2011</v>
      </c>
      <c r="Q84" s="35" t="s">
        <v>317</v>
      </c>
      <c r="R84" s="91" t="s">
        <v>3263</v>
      </c>
      <c r="S84" s="162"/>
      <c r="T84" s="157"/>
      <c r="U84" s="158" t="s">
        <v>1997</v>
      </c>
      <c r="V84" s="158" t="s">
        <v>1978</v>
      </c>
      <c r="W84" s="158" t="str">
        <f>V84&amp;U84</f>
        <v>交通公路</v>
      </c>
      <c r="X84" s="158" t="str">
        <f>U84</f>
        <v>公路</v>
      </c>
      <c r="Y84" s="158"/>
      <c r="Z84" s="161"/>
      <c r="AA84" s="161"/>
      <c r="AB84" s="160"/>
      <c r="AC84" s="157"/>
      <c r="AD84" s="157"/>
      <c r="AE84" s="157"/>
      <c r="AF84" s="157"/>
      <c r="AG84" s="157"/>
      <c r="AH84" s="157"/>
      <c r="AI84" s="157"/>
      <c r="AJ84" s="157"/>
      <c r="AK84" s="7" t="s">
        <v>205</v>
      </c>
      <c r="AL84" s="7" t="s">
        <v>1980</v>
      </c>
      <c r="AM84" s="204" t="str">
        <f t="shared" si="72"/>
        <v>政府浦北县人民政府</v>
      </c>
      <c r="AN84" s="204" t="str">
        <f>AL84&amp;Q84</f>
        <v>基础设施浦北县人民政府</v>
      </c>
      <c r="AO84" s="205">
        <f>IF(J84&gt;0,1,0)</f>
        <v>0</v>
      </c>
      <c r="AP84" s="157" t="str">
        <f>IF(I84&lt;1000,"",W84&amp;"1000")</f>
        <v>交通公路1000</v>
      </c>
      <c r="AQ84" s="157" t="str">
        <f>IF(I84&lt;2000,"",W84&amp;"2000")</f>
        <v/>
      </c>
      <c r="AR84" s="157" t="str">
        <f>IF(I84&lt;5000,"",W84&amp;"5000")</f>
        <v/>
      </c>
      <c r="AS84" s="157">
        <f t="shared" si="73"/>
        <v>1</v>
      </c>
      <c r="AT84" s="157" t="e">
        <f>IF(#REF!&gt;0,1,0)</f>
        <v>#REF!</v>
      </c>
      <c r="AU84" s="157" t="e">
        <f>IF(#REF!&gt;0,1,0)</f>
        <v>#REF!</v>
      </c>
      <c r="AV84" s="157" t="e">
        <f>IF(#REF!&gt;0,1,0)</f>
        <v>#REF!</v>
      </c>
      <c r="AW84" s="157" t="e">
        <f>IF(#REF!&gt;0,1,0)</f>
        <v>#REF!</v>
      </c>
      <c r="AX84" s="181"/>
      <c r="AY84" s="206"/>
      <c r="AZ84" s="7"/>
      <c r="BA84" s="206"/>
      <c r="BB84" s="225"/>
      <c r="BC84" s="206"/>
      <c r="BD84" s="206"/>
      <c r="BE84" s="206"/>
      <c r="BF84" s="7"/>
      <c r="BG84" s="7"/>
      <c r="BH84" s="7"/>
      <c r="BI84" s="7"/>
      <c r="BJ84" s="7"/>
    </row>
    <row r="85" s="4" customFormat="1" ht="75" customHeight="1" spans="1:57">
      <c r="A85" s="23">
        <f>SUBTOTAL(3,C$7:C85)</f>
        <v>79</v>
      </c>
      <c r="B85" s="58" t="s">
        <v>1383</v>
      </c>
      <c r="C85" s="35" t="s">
        <v>562</v>
      </c>
      <c r="D85" s="60" t="s">
        <v>1384</v>
      </c>
      <c r="E85" s="23" t="s">
        <v>588</v>
      </c>
      <c r="F85" s="67">
        <v>6300</v>
      </c>
      <c r="G85" s="67">
        <v>3000</v>
      </c>
      <c r="H85" s="54" t="s">
        <v>3264</v>
      </c>
      <c r="I85" s="36">
        <v>1600</v>
      </c>
      <c r="J85" s="134"/>
      <c r="K85" s="112" t="s">
        <v>3265</v>
      </c>
      <c r="L85" s="112" t="s">
        <v>117</v>
      </c>
      <c r="M85" s="132"/>
      <c r="N85" s="132"/>
      <c r="O85" s="123" t="s">
        <v>807</v>
      </c>
      <c r="P85" s="67" t="s">
        <v>2442</v>
      </c>
      <c r="Q85" s="35" t="s">
        <v>375</v>
      </c>
      <c r="R85" s="91" t="s">
        <v>3266</v>
      </c>
      <c r="S85" s="157"/>
      <c r="T85" s="158" t="s">
        <v>2039</v>
      </c>
      <c r="U85" s="158" t="s">
        <v>2061</v>
      </c>
      <c r="V85" s="158" t="str">
        <f t="shared" ref="V85:V90" si="78">U85&amp;T85</f>
        <v>园区基础设施供水工程</v>
      </c>
      <c r="W85" s="158" t="s">
        <v>2018</v>
      </c>
      <c r="X85" s="158"/>
      <c r="Y85" s="157"/>
      <c r="Z85" s="159"/>
      <c r="AA85" s="160"/>
      <c r="AB85" s="157"/>
      <c r="AC85" s="157"/>
      <c r="AD85" s="157"/>
      <c r="AE85" s="157"/>
      <c r="AF85" s="157"/>
      <c r="AG85" s="157"/>
      <c r="AH85" s="157"/>
      <c r="AI85" s="157"/>
      <c r="AJ85" s="201" t="s">
        <v>205</v>
      </c>
      <c r="AK85" s="203" t="s">
        <v>1980</v>
      </c>
      <c r="AL85" s="201" t="str">
        <f t="shared" si="71"/>
        <v>政府钦北区人民政府</v>
      </c>
      <c r="AM85" s="201" t="str">
        <f t="shared" si="72"/>
        <v>基础设施钦北区人民政府</v>
      </c>
      <c r="AN85" s="204">
        <f t="shared" si="74"/>
        <v>0</v>
      </c>
      <c r="AO85" s="157" t="str">
        <f t="shared" si="75"/>
        <v>园区基础设施供水工程1000</v>
      </c>
      <c r="AP85" s="157" t="str">
        <f t="shared" si="76"/>
        <v/>
      </c>
      <c r="AQ85" s="157" t="str">
        <f t="shared" si="77"/>
        <v/>
      </c>
      <c r="AR85" s="157"/>
      <c r="AS85" s="157">
        <f t="shared" si="73"/>
        <v>0</v>
      </c>
      <c r="AT85" s="157" t="e">
        <f>IF(#REF!&gt;0,1,0)</f>
        <v>#REF!</v>
      </c>
      <c r="AU85" s="157" t="e">
        <f>IF(#REF!&gt;0,1,0)</f>
        <v>#REF!</v>
      </c>
      <c r="AV85" s="157" t="e">
        <f>IF(#REF!&gt;0,1,0)</f>
        <v>#REF!</v>
      </c>
      <c r="AW85" s="157" t="e">
        <f>IF(#REF!&gt;0,1,0)</f>
        <v>#REF!</v>
      </c>
      <c r="AX85" s="273"/>
      <c r="AY85" s="206"/>
      <c r="AZ85" s="7"/>
      <c r="BA85" s="206"/>
      <c r="BB85" s="225"/>
      <c r="BC85" s="206"/>
      <c r="BD85" s="206"/>
      <c r="BE85" s="206"/>
    </row>
    <row r="86" s="4" customFormat="1" ht="60.6" customHeight="1" spans="1:63">
      <c r="A86" s="23">
        <f>SUBTOTAL(3,C$7:C86)</f>
        <v>80</v>
      </c>
      <c r="B86" s="55" t="s">
        <v>3267</v>
      </c>
      <c r="C86" s="35" t="s">
        <v>562</v>
      </c>
      <c r="D86" s="55" t="s">
        <v>3268</v>
      </c>
      <c r="E86" s="35" t="s">
        <v>575</v>
      </c>
      <c r="F86" s="36">
        <v>4861</v>
      </c>
      <c r="G86" s="38">
        <v>3660</v>
      </c>
      <c r="H86" s="112" t="s">
        <v>1465</v>
      </c>
      <c r="I86" s="36">
        <v>1200</v>
      </c>
      <c r="J86" s="67"/>
      <c r="K86" s="90"/>
      <c r="L86" s="90" t="s">
        <v>117</v>
      </c>
      <c r="M86" s="55" t="s">
        <v>1416</v>
      </c>
      <c r="N86" s="35" t="s">
        <v>1914</v>
      </c>
      <c r="O86" s="67" t="s">
        <v>185</v>
      </c>
      <c r="P86" s="91"/>
      <c r="Q86" s="91"/>
      <c r="R86" s="157" t="s">
        <v>3269</v>
      </c>
      <c r="S86" s="157"/>
      <c r="T86" s="161" t="s">
        <v>2020</v>
      </c>
      <c r="U86" s="161" t="s">
        <v>2061</v>
      </c>
      <c r="V86" s="158" t="str">
        <f t="shared" si="78"/>
        <v>园区基础设施路网工程</v>
      </c>
      <c r="W86" s="158" t="s">
        <v>2021</v>
      </c>
      <c r="X86" s="158"/>
      <c r="Y86" s="157"/>
      <c r="Z86" s="272"/>
      <c r="AA86" s="160"/>
      <c r="AB86" s="157"/>
      <c r="AC86" s="157"/>
      <c r="AD86" s="157"/>
      <c r="AE86" s="157"/>
      <c r="AF86" s="157"/>
      <c r="AG86" s="157"/>
      <c r="AH86" s="157"/>
      <c r="AI86" s="157"/>
      <c r="AJ86" s="157" t="s">
        <v>205</v>
      </c>
      <c r="AK86" s="203" t="s">
        <v>1980</v>
      </c>
      <c r="AL86" s="201" t="str">
        <f t="shared" ref="AL86:AL88" si="79">AJ86&amp;O86</f>
        <v>政府中马钦州产业园区管委</v>
      </c>
      <c r="AM86" s="201" t="str">
        <f t="shared" ref="AM86:AM88" si="80">AK86&amp;O86</f>
        <v>基础设施中马钦州产业园区管委</v>
      </c>
      <c r="AN86" s="204">
        <f t="shared" si="74"/>
        <v>0</v>
      </c>
      <c r="AO86" s="157" t="str">
        <f t="shared" si="75"/>
        <v>园区基础设施路网工程1000</v>
      </c>
      <c r="AP86" s="157" t="str">
        <f t="shared" si="76"/>
        <v/>
      </c>
      <c r="AQ86" s="157" t="str">
        <f t="shared" si="77"/>
        <v/>
      </c>
      <c r="AR86" s="157"/>
      <c r="AS86" s="157" t="e">
        <f>IF(#REF!&gt;0,1,0)</f>
        <v>#REF!</v>
      </c>
      <c r="AT86" s="157" t="e">
        <f>IF(#REF!&gt;0,1,0)</f>
        <v>#REF!</v>
      </c>
      <c r="AU86" s="157" t="e">
        <f>IF(#REF!&gt;0,1,0)</f>
        <v>#REF!</v>
      </c>
      <c r="AV86" s="157" t="e">
        <f>IF(#REF!&gt;0,1,0)</f>
        <v>#REF!</v>
      </c>
      <c r="AW86" s="157" t="e">
        <f>IF(#REF!&gt;0,1,0)</f>
        <v>#REF!</v>
      </c>
      <c r="AX86" s="181"/>
      <c r="AY86" s="206"/>
      <c r="AZ86" s="7"/>
      <c r="BA86" s="7"/>
      <c r="BB86" s="7"/>
      <c r="BC86" s="274"/>
      <c r="BD86" s="7"/>
      <c r="BE86" s="7"/>
      <c r="BF86" s="7"/>
      <c r="BG86" s="7"/>
      <c r="BH86" s="7"/>
      <c r="BI86" s="7"/>
      <c r="BJ86" s="7"/>
      <c r="BK86" s="7"/>
    </row>
    <row r="87" s="4" customFormat="1" ht="60.6" customHeight="1" spans="1:63">
      <c r="A87" s="23">
        <f>SUBTOTAL(3,C$7:C87)</f>
        <v>81</v>
      </c>
      <c r="B87" s="55" t="s">
        <v>3270</v>
      </c>
      <c r="C87" s="35" t="s">
        <v>562</v>
      </c>
      <c r="D87" s="55" t="s">
        <v>3271</v>
      </c>
      <c r="E87" s="35" t="s">
        <v>812</v>
      </c>
      <c r="F87" s="36">
        <v>1437</v>
      </c>
      <c r="G87" s="38">
        <v>900</v>
      </c>
      <c r="H87" s="112" t="s">
        <v>1465</v>
      </c>
      <c r="I87" s="36">
        <v>500</v>
      </c>
      <c r="J87" s="67"/>
      <c r="K87" s="90"/>
      <c r="L87" s="90" t="s">
        <v>117</v>
      </c>
      <c r="M87" s="55" t="s">
        <v>1416</v>
      </c>
      <c r="N87" s="35" t="s">
        <v>1914</v>
      </c>
      <c r="O87" s="67" t="s">
        <v>185</v>
      </c>
      <c r="P87" s="91"/>
      <c r="Q87" s="91"/>
      <c r="R87" s="157" t="s">
        <v>3269</v>
      </c>
      <c r="S87" s="157"/>
      <c r="T87" s="161" t="s">
        <v>2020</v>
      </c>
      <c r="U87" s="161" t="s">
        <v>2061</v>
      </c>
      <c r="V87" s="158" t="str">
        <f t="shared" si="78"/>
        <v>园区基础设施路网工程</v>
      </c>
      <c r="W87" s="158" t="s">
        <v>2021</v>
      </c>
      <c r="X87" s="158"/>
      <c r="Y87" s="157"/>
      <c r="Z87" s="272"/>
      <c r="AA87" s="160"/>
      <c r="AB87" s="157"/>
      <c r="AC87" s="157"/>
      <c r="AD87" s="157"/>
      <c r="AE87" s="157"/>
      <c r="AF87" s="157"/>
      <c r="AG87" s="157"/>
      <c r="AH87" s="157"/>
      <c r="AI87" s="157"/>
      <c r="AJ87" s="157" t="s">
        <v>205</v>
      </c>
      <c r="AK87" s="203" t="s">
        <v>1980</v>
      </c>
      <c r="AL87" s="201" t="str">
        <f t="shared" si="79"/>
        <v>政府中马钦州产业园区管委</v>
      </c>
      <c r="AM87" s="201" t="str">
        <f t="shared" si="80"/>
        <v>基础设施中马钦州产业园区管委</v>
      </c>
      <c r="AN87" s="204">
        <f t="shared" si="74"/>
        <v>0</v>
      </c>
      <c r="AO87" s="157" t="str">
        <f t="shared" si="75"/>
        <v/>
      </c>
      <c r="AP87" s="157" t="str">
        <f t="shared" si="76"/>
        <v/>
      </c>
      <c r="AQ87" s="157" t="str">
        <f t="shared" si="77"/>
        <v/>
      </c>
      <c r="AR87" s="157"/>
      <c r="AS87" s="157" t="e">
        <f>IF(#REF!&gt;0,1,0)</f>
        <v>#REF!</v>
      </c>
      <c r="AT87" s="157" t="e">
        <f>IF(#REF!&gt;0,1,0)</f>
        <v>#REF!</v>
      </c>
      <c r="AU87" s="157" t="e">
        <f>IF(#REF!&gt;0,1,0)</f>
        <v>#REF!</v>
      </c>
      <c r="AV87" s="157" t="e">
        <f>IF(#REF!&gt;0,1,0)</f>
        <v>#REF!</v>
      </c>
      <c r="AW87" s="157" t="e">
        <f>IF(#REF!&gt;0,1,0)</f>
        <v>#REF!</v>
      </c>
      <c r="AX87" s="181"/>
      <c r="AY87" s="206"/>
      <c r="AZ87" s="7"/>
      <c r="BA87" s="7"/>
      <c r="BB87" s="7"/>
      <c r="BC87" s="274"/>
      <c r="BD87" s="7"/>
      <c r="BE87" s="7"/>
      <c r="BF87" s="7"/>
      <c r="BG87" s="7"/>
      <c r="BH87" s="7"/>
      <c r="BI87" s="7"/>
      <c r="BJ87" s="7"/>
      <c r="BK87" s="7"/>
    </row>
    <row r="88" s="4" customFormat="1" ht="73.5" customHeight="1" spans="1:63">
      <c r="A88" s="23">
        <f>SUBTOTAL(3,C$7:C88)</f>
        <v>82</v>
      </c>
      <c r="B88" s="55" t="s">
        <v>3272</v>
      </c>
      <c r="C88" s="67" t="s">
        <v>562</v>
      </c>
      <c r="D88" s="60" t="s">
        <v>3273</v>
      </c>
      <c r="E88" s="35" t="s">
        <v>3274</v>
      </c>
      <c r="F88" s="38">
        <v>22000</v>
      </c>
      <c r="G88" s="38">
        <v>1000</v>
      </c>
      <c r="H88" s="123" t="s">
        <v>3275</v>
      </c>
      <c r="I88" s="38">
        <v>2000</v>
      </c>
      <c r="J88" s="50"/>
      <c r="K88" s="90"/>
      <c r="L88" s="90" t="s">
        <v>117</v>
      </c>
      <c r="M88" s="55" t="s">
        <v>3276</v>
      </c>
      <c r="N88" s="129" t="s">
        <v>3277</v>
      </c>
      <c r="O88" s="35" t="s">
        <v>240</v>
      </c>
      <c r="P88" s="91"/>
      <c r="Q88" s="91"/>
      <c r="R88" s="91" t="s">
        <v>3278</v>
      </c>
      <c r="S88" s="157"/>
      <c r="T88" s="158" t="s">
        <v>241</v>
      </c>
      <c r="U88" s="158" t="s">
        <v>91</v>
      </c>
      <c r="V88" s="158" t="str">
        <f t="shared" si="78"/>
        <v>工业高新区</v>
      </c>
      <c r="W88" s="158" t="str">
        <f>U88</f>
        <v>工业</v>
      </c>
      <c r="X88" s="158"/>
      <c r="Y88" s="161"/>
      <c r="Z88" s="161"/>
      <c r="AA88" s="160"/>
      <c r="AB88" s="157"/>
      <c r="AC88" s="157"/>
      <c r="AD88" s="157"/>
      <c r="AE88" s="157"/>
      <c r="AF88" s="157"/>
      <c r="AG88" s="157"/>
      <c r="AH88" s="157"/>
      <c r="AI88" s="157"/>
      <c r="AJ88" s="157" t="s">
        <v>92</v>
      </c>
      <c r="AK88" s="203" t="s">
        <v>1980</v>
      </c>
      <c r="AL88" s="201" t="str">
        <f t="shared" si="79"/>
        <v>企业钦州高新区管委</v>
      </c>
      <c r="AM88" s="201" t="str">
        <f t="shared" si="80"/>
        <v>基础设施钦州高新区管委</v>
      </c>
      <c r="AN88" s="204">
        <f t="shared" si="74"/>
        <v>0</v>
      </c>
      <c r="AO88" s="157" t="str">
        <f t="shared" si="75"/>
        <v>工业高新区1000</v>
      </c>
      <c r="AP88" s="157" t="str">
        <f t="shared" si="76"/>
        <v>工业高新区2000</v>
      </c>
      <c r="AQ88" s="157" t="str">
        <f t="shared" si="77"/>
        <v/>
      </c>
      <c r="AR88" s="157"/>
      <c r="AS88" s="157" t="e">
        <f>IF(#REF!&gt;0,1,0)</f>
        <v>#REF!</v>
      </c>
      <c r="AT88" s="157" t="e">
        <f>IF(#REF!&gt;0,1,0)</f>
        <v>#REF!</v>
      </c>
      <c r="AU88" s="157" t="e">
        <f>IF(#REF!&gt;0,1,0)</f>
        <v>#REF!</v>
      </c>
      <c r="AV88" s="157" t="e">
        <f>IF(#REF!&gt;0,1,0)</f>
        <v>#REF!</v>
      </c>
      <c r="AW88" s="157" t="e">
        <f>IF(#REF!&gt;0,1,0)</f>
        <v>#REF!</v>
      </c>
      <c r="AX88" s="157"/>
      <c r="AY88" s="206"/>
      <c r="AZ88" s="7"/>
      <c r="BA88" s="7"/>
      <c r="BB88" s="7"/>
      <c r="BC88" s="7"/>
      <c r="BD88" s="7"/>
      <c r="BE88" s="7"/>
      <c r="BF88" s="7"/>
      <c r="BG88" s="7"/>
      <c r="BH88" s="7"/>
      <c r="BI88" s="7"/>
      <c r="BJ88" s="7"/>
      <c r="BK88" s="7"/>
    </row>
    <row r="89" s="4" customFormat="1" ht="88.5" customHeight="1" spans="1:63">
      <c r="A89" s="23">
        <f>SUBTOTAL(3,C$7:C89)</f>
        <v>83</v>
      </c>
      <c r="B89" s="60" t="s">
        <v>3279</v>
      </c>
      <c r="C89" s="35" t="s">
        <v>562</v>
      </c>
      <c r="D89" s="60" t="s">
        <v>3280</v>
      </c>
      <c r="E89" s="23" t="s">
        <v>1038</v>
      </c>
      <c r="F89" s="67">
        <v>35234</v>
      </c>
      <c r="G89" s="67">
        <v>32900</v>
      </c>
      <c r="H89" s="123" t="s">
        <v>3281</v>
      </c>
      <c r="I89" s="254"/>
      <c r="J89" s="254"/>
      <c r="K89" s="90" t="s">
        <v>3282</v>
      </c>
      <c r="L89" s="90" t="s">
        <v>3283</v>
      </c>
      <c r="M89" s="132">
        <v>88.65</v>
      </c>
      <c r="N89" s="255">
        <v>47</v>
      </c>
      <c r="O89" s="54" t="s">
        <v>3284</v>
      </c>
      <c r="P89" s="35" t="s">
        <v>3285</v>
      </c>
      <c r="Q89" s="67" t="s">
        <v>750</v>
      </c>
      <c r="R89" s="91" t="s">
        <v>3286</v>
      </c>
      <c r="S89" s="157"/>
      <c r="T89" s="158" t="s">
        <v>2147</v>
      </c>
      <c r="U89" s="158" t="s">
        <v>2139</v>
      </c>
      <c r="V89" s="158" t="str">
        <f t="shared" si="78"/>
        <v>社会事业卫生</v>
      </c>
      <c r="W89" s="158" t="str">
        <f t="shared" ref="W89:W95" si="81">T89</f>
        <v>卫生</v>
      </c>
      <c r="X89" s="158"/>
      <c r="Y89" s="157"/>
      <c r="Z89" s="159"/>
      <c r="AA89" s="160"/>
      <c r="AB89" s="157"/>
      <c r="AC89" s="157"/>
      <c r="AD89" s="157"/>
      <c r="AE89" s="157"/>
      <c r="AF89" s="157"/>
      <c r="AG89" s="157"/>
      <c r="AH89" s="157"/>
      <c r="AI89" s="157"/>
      <c r="AJ89" s="201" t="s">
        <v>205</v>
      </c>
      <c r="AK89" s="203" t="s">
        <v>2140</v>
      </c>
      <c r="AL89" s="201" t="str">
        <f>AJ89&amp;Q89</f>
        <v>政府市卫健委</v>
      </c>
      <c r="AM89" s="201" t="str">
        <f>AK89&amp;Q89</f>
        <v>民生设施市卫健委</v>
      </c>
      <c r="AN89" s="204" t="e">
        <f>IF(#REF!&gt;0,1,0)</f>
        <v>#REF!</v>
      </c>
      <c r="AO89" s="157" t="e">
        <f>IF(#REF!&lt;1000,"",V89&amp;"1000")</f>
        <v>#REF!</v>
      </c>
      <c r="AP89" s="157" t="e">
        <f>IF(#REF!&lt;2000,"",V89&amp;"2000")</f>
        <v>#REF!</v>
      </c>
      <c r="AQ89" s="157" t="e">
        <f>IF(#REF!&lt;5000,"",V89&amp;"5000")</f>
        <v>#REF!</v>
      </c>
      <c r="AR89" s="157"/>
      <c r="AS89" s="157">
        <f>IF(M89&gt;0,1,0)</f>
        <v>1</v>
      </c>
      <c r="AT89" s="157" t="e">
        <f>IF(#REF!&gt;0,1,0)</f>
        <v>#REF!</v>
      </c>
      <c r="AU89" s="157" t="e">
        <f>IF(#REF!&gt;0,1,0)</f>
        <v>#REF!</v>
      </c>
      <c r="AV89" s="157" t="e">
        <f>IF(#REF!&gt;0,1,0)</f>
        <v>#REF!</v>
      </c>
      <c r="AW89" s="157" t="e">
        <f>IF(#REF!&gt;0,1,0)</f>
        <v>#REF!</v>
      </c>
      <c r="AX89" s="181"/>
      <c r="AY89" s="206"/>
      <c r="AZ89" s="7"/>
      <c r="BA89" s="204"/>
      <c r="BB89" s="227"/>
      <c r="BC89" s="204"/>
      <c r="BD89" s="204"/>
      <c r="BE89" s="204"/>
      <c r="BF89" s="7"/>
      <c r="BG89" s="7"/>
      <c r="BH89" s="7"/>
      <c r="BI89" s="7"/>
      <c r="BJ89" s="7"/>
      <c r="BK89" s="7"/>
    </row>
    <row r="90" s="4" customFormat="1" ht="66" customHeight="1" spans="1:51">
      <c r="A90" s="23">
        <f>SUBTOTAL(3,C$10:C90)</f>
        <v>81</v>
      </c>
      <c r="B90" s="235" t="s">
        <v>3287</v>
      </c>
      <c r="C90" s="236" t="s">
        <v>79</v>
      </c>
      <c r="D90" s="34" t="s">
        <v>3288</v>
      </c>
      <c r="E90" s="35" t="s">
        <v>112</v>
      </c>
      <c r="F90" s="237">
        <v>10000</v>
      </c>
      <c r="G90" s="81" t="s">
        <v>113</v>
      </c>
      <c r="H90" s="112" t="s">
        <v>284</v>
      </c>
      <c r="I90" s="256"/>
      <c r="J90" s="257"/>
      <c r="K90" s="132"/>
      <c r="L90" s="132"/>
      <c r="M90" s="132"/>
      <c r="N90" s="112" t="s">
        <v>345</v>
      </c>
      <c r="O90" s="34" t="s">
        <v>3289</v>
      </c>
      <c r="P90" s="35" t="s">
        <v>3290</v>
      </c>
      <c r="Q90" s="67" t="s">
        <v>375</v>
      </c>
      <c r="R90" s="93" t="s">
        <v>3291</v>
      </c>
      <c r="S90" s="157"/>
      <c r="T90" s="158" t="s">
        <v>376</v>
      </c>
      <c r="U90" s="158" t="s">
        <v>91</v>
      </c>
      <c r="V90" s="158" t="str">
        <f t="shared" si="78"/>
        <v>工业钦北区</v>
      </c>
      <c r="W90" s="158" t="str">
        <f>U90</f>
        <v>工业</v>
      </c>
      <c r="X90" s="159"/>
      <c r="Y90" s="160"/>
      <c r="Z90" s="157"/>
      <c r="AA90" s="157"/>
      <c r="AB90" s="157"/>
      <c r="AC90" s="157"/>
      <c r="AD90" s="157"/>
      <c r="AE90" s="273"/>
      <c r="AF90" s="157" t="str">
        <f>Q90&amp;G90</f>
        <v>钦北区人民政府9月</v>
      </c>
      <c r="AG90" s="157" t="s">
        <v>92</v>
      </c>
      <c r="AH90" s="157" t="s">
        <v>93</v>
      </c>
      <c r="AI90" s="201" t="str">
        <f>AG90&amp;Q90</f>
        <v>企业钦北区人民政府</v>
      </c>
      <c r="AJ90" s="201" t="str">
        <f>AH90&amp;Q90</f>
        <v>产业钦北区人民政府</v>
      </c>
      <c r="AK90" s="201">
        <f>IF(I90&gt;0,1,0)</f>
        <v>0</v>
      </c>
      <c r="AL90" s="157"/>
      <c r="AM90" s="157" t="e">
        <f>IF(#REF!&gt;0,1,0)</f>
        <v>#REF!</v>
      </c>
      <c r="AN90" s="157">
        <f>IF(M90&gt;0,1,0)</f>
        <v>0</v>
      </c>
      <c r="AO90" s="157">
        <f>IF(K90&gt;0,1,0)</f>
        <v>0</v>
      </c>
      <c r="AP90" s="157" t="e">
        <f>IF(#REF!&gt;0,1,0)</f>
        <v>#REF!</v>
      </c>
      <c r="AQ90" s="157" t="e">
        <f>IF(#REF!&gt;0,1,0)</f>
        <v>#REF!</v>
      </c>
      <c r="AR90" s="273"/>
      <c r="AS90" s="206"/>
      <c r="AU90" s="206"/>
      <c r="AV90" s="225"/>
      <c r="AW90" s="206"/>
      <c r="AX90" s="206"/>
      <c r="AY90" s="206"/>
    </row>
    <row r="91" s="4" customFormat="1" ht="124.5" customHeight="1" spans="1:48">
      <c r="A91" s="23">
        <f>SUBTOTAL(3,C$10:C91)</f>
        <v>82</v>
      </c>
      <c r="B91" s="55" t="s">
        <v>3292</v>
      </c>
      <c r="C91" s="35" t="s">
        <v>79</v>
      </c>
      <c r="D91" s="55" t="s">
        <v>3293</v>
      </c>
      <c r="E91" s="35" t="s">
        <v>81</v>
      </c>
      <c r="F91" s="36">
        <v>148400</v>
      </c>
      <c r="G91" s="83" t="s">
        <v>103</v>
      </c>
      <c r="H91" s="112" t="s">
        <v>3294</v>
      </c>
      <c r="I91" s="67"/>
      <c r="J91" s="67"/>
      <c r="K91" s="90" t="s">
        <v>3295</v>
      </c>
      <c r="L91" s="112" t="s">
        <v>3296</v>
      </c>
      <c r="M91" s="252">
        <v>372</v>
      </c>
      <c r="N91" s="252">
        <v>372</v>
      </c>
      <c r="O91" s="55" t="s">
        <v>3297</v>
      </c>
      <c r="P91" s="35" t="s">
        <v>3298</v>
      </c>
      <c r="Q91" s="35" t="s">
        <v>359</v>
      </c>
      <c r="R91" s="93" t="s">
        <v>3299</v>
      </c>
      <c r="S91" s="157"/>
      <c r="T91" s="158" t="s">
        <v>2016</v>
      </c>
      <c r="U91" s="158" t="s">
        <v>2017</v>
      </c>
      <c r="V91" s="158" t="str">
        <f t="shared" ref="V91:V99" si="82">U91&amp;T91</f>
        <v>城市基础设施生态环保</v>
      </c>
      <c r="W91" s="158" t="s">
        <v>2018</v>
      </c>
      <c r="X91" s="159"/>
      <c r="Y91" s="160"/>
      <c r="Z91" s="157"/>
      <c r="AA91" s="157"/>
      <c r="AB91" s="157"/>
      <c r="AC91" s="157"/>
      <c r="AD91" s="157"/>
      <c r="AE91" s="181"/>
      <c r="AF91" s="157" t="str">
        <f>Q91&amp;G91</f>
        <v>钦南区人民政府10月</v>
      </c>
      <c r="AG91" s="157" t="s">
        <v>92</v>
      </c>
      <c r="AH91" s="157" t="s">
        <v>2140</v>
      </c>
      <c r="AI91" s="201" t="str">
        <f>AG91&amp;Q91</f>
        <v>企业钦南区人民政府</v>
      </c>
      <c r="AJ91" s="201" t="str">
        <f>AH91&amp;Q91</f>
        <v>民生设施钦南区人民政府</v>
      </c>
      <c r="AK91" s="201"/>
      <c r="AL91" s="157"/>
      <c r="AM91" s="157">
        <f>IF(M91&gt;0,1,0)</f>
        <v>1</v>
      </c>
      <c r="AN91" s="157" t="e">
        <f>IF(#REF!&gt;0,1,0)</f>
        <v>#REF!</v>
      </c>
      <c r="AO91" s="157" t="e">
        <f>IF(#REF!&gt;0,1,0)</f>
        <v>#REF!</v>
      </c>
      <c r="AP91" s="157" t="e">
        <f>IF(#REF!&gt;0,1,0)</f>
        <v>#REF!</v>
      </c>
      <c r="AQ91" s="157" t="e">
        <f>IF(#REF!&gt;0,1,0)</f>
        <v>#REF!</v>
      </c>
      <c r="AR91" s="181"/>
      <c r="AS91" s="206"/>
      <c r="AV91" s="7" t="s">
        <v>1890</v>
      </c>
    </row>
    <row r="92" s="10" customFormat="1" ht="87.75" customHeight="1" spans="1:43">
      <c r="A92" s="23">
        <f>SUBTOTAL(3,C$10:C92)</f>
        <v>83</v>
      </c>
      <c r="B92" s="238" t="s">
        <v>3300</v>
      </c>
      <c r="C92" s="239" t="s">
        <v>79</v>
      </c>
      <c r="D92" s="238" t="s">
        <v>3301</v>
      </c>
      <c r="E92" s="239" t="s">
        <v>143</v>
      </c>
      <c r="F92" s="240">
        <v>12000</v>
      </c>
      <c r="G92" s="241" t="s">
        <v>122</v>
      </c>
      <c r="H92" s="242" t="s">
        <v>3302</v>
      </c>
      <c r="I92" s="111"/>
      <c r="J92" s="118"/>
      <c r="K92" s="233" t="s">
        <v>3303</v>
      </c>
      <c r="L92" s="242" t="s">
        <v>1254</v>
      </c>
      <c r="M92" s="252"/>
      <c r="N92" s="252"/>
      <c r="O92" s="238" t="s">
        <v>3304</v>
      </c>
      <c r="P92" s="239" t="s">
        <v>3305</v>
      </c>
      <c r="Q92" s="239" t="s">
        <v>359</v>
      </c>
      <c r="R92" s="171" t="s">
        <v>3306</v>
      </c>
      <c r="S92" s="157"/>
      <c r="T92" s="158" t="s">
        <v>722</v>
      </c>
      <c r="U92" s="158" t="s">
        <v>2105</v>
      </c>
      <c r="V92" s="158" t="str">
        <f t="shared" si="82"/>
        <v>农林水农业</v>
      </c>
      <c r="W92" s="158" t="str">
        <f t="shared" si="81"/>
        <v>农业</v>
      </c>
      <c r="X92" s="157"/>
      <c r="Y92" s="157"/>
      <c r="Z92" s="157"/>
      <c r="AA92" s="157"/>
      <c r="AB92" s="157"/>
      <c r="AC92" s="162"/>
      <c r="AD92" s="157" t="str">
        <f t="shared" ref="AD92:AD95" si="83">Q92&amp;G92</f>
        <v>钦南区人民政府6月</v>
      </c>
      <c r="AE92" s="157" t="s">
        <v>92</v>
      </c>
      <c r="AF92" s="157" t="s">
        <v>1980</v>
      </c>
      <c r="AG92" s="201" t="str">
        <f t="shared" ref="AG92:AG95" si="84">AE92&amp;Q92</f>
        <v>企业钦南区人民政府</v>
      </c>
      <c r="AH92" s="201" t="str">
        <f t="shared" ref="AH92:AH95" si="85">AF92&amp;Q92</f>
        <v>基础设施钦南区人民政府</v>
      </c>
      <c r="AI92" s="201">
        <f t="shared" ref="AI92:AI95" si="86">IF(I92&gt;0,1,0)</f>
        <v>0</v>
      </c>
      <c r="AJ92" s="157"/>
      <c r="AK92" s="157" t="e">
        <f>IF(#REF!&gt;0,1,0)</f>
        <v>#REF!</v>
      </c>
      <c r="AL92" s="157" t="e">
        <f>IF(#REF!&gt;0,1,0)</f>
        <v>#REF!</v>
      </c>
      <c r="AM92" s="157" t="e">
        <f>IF(#REF!&gt;0,1,0)</f>
        <v>#REF!</v>
      </c>
      <c r="AN92" s="157" t="e">
        <f>IF(#REF!&gt;0,1,0)</f>
        <v>#REF!</v>
      </c>
      <c r="AO92" s="157" t="e">
        <f>IF(#REF!&gt;0,1,0)</f>
        <v>#REF!</v>
      </c>
      <c r="AP92" s="162"/>
      <c r="AQ92" s="206"/>
    </row>
    <row r="93" s="10" customFormat="1" ht="66.6" customHeight="1" spans="1:43">
      <c r="A93" s="23">
        <f>SUBTOTAL(3,C$10:C93)</f>
        <v>84</v>
      </c>
      <c r="B93" s="238" t="s">
        <v>3307</v>
      </c>
      <c r="C93" s="239" t="s">
        <v>79</v>
      </c>
      <c r="D93" s="238" t="s">
        <v>3308</v>
      </c>
      <c r="E93" s="239" t="s">
        <v>81</v>
      </c>
      <c r="F93" s="240">
        <v>3200</v>
      </c>
      <c r="G93" s="241" t="s">
        <v>144</v>
      </c>
      <c r="H93" s="242" t="s">
        <v>3309</v>
      </c>
      <c r="I93" s="111"/>
      <c r="J93" s="118"/>
      <c r="K93" s="233" t="s">
        <v>3303</v>
      </c>
      <c r="L93" s="242" t="s">
        <v>117</v>
      </c>
      <c r="M93" s="252"/>
      <c r="N93" s="252"/>
      <c r="O93" s="238" t="s">
        <v>3310</v>
      </c>
      <c r="P93" s="239" t="s">
        <v>3311</v>
      </c>
      <c r="Q93" s="239" t="s">
        <v>359</v>
      </c>
      <c r="R93" s="171" t="s">
        <v>3306</v>
      </c>
      <c r="S93" s="157"/>
      <c r="T93" s="158" t="s">
        <v>722</v>
      </c>
      <c r="U93" s="158" t="s">
        <v>2105</v>
      </c>
      <c r="V93" s="158" t="str">
        <f t="shared" si="82"/>
        <v>农林水农业</v>
      </c>
      <c r="W93" s="158" t="str">
        <f t="shared" si="81"/>
        <v>农业</v>
      </c>
      <c r="X93" s="157"/>
      <c r="Y93" s="157"/>
      <c r="Z93" s="157"/>
      <c r="AA93" s="157"/>
      <c r="AB93" s="157"/>
      <c r="AC93" s="162"/>
      <c r="AD93" s="157" t="str">
        <f t="shared" si="83"/>
        <v>钦南区人民政府5月</v>
      </c>
      <c r="AE93" s="157" t="s">
        <v>92</v>
      </c>
      <c r="AF93" s="157" t="s">
        <v>1980</v>
      </c>
      <c r="AG93" s="201" t="str">
        <f t="shared" si="84"/>
        <v>企业钦南区人民政府</v>
      </c>
      <c r="AH93" s="201" t="str">
        <f t="shared" si="85"/>
        <v>基础设施钦南区人民政府</v>
      </c>
      <c r="AI93" s="201">
        <f t="shared" si="86"/>
        <v>0</v>
      </c>
      <c r="AJ93" s="157"/>
      <c r="AK93" s="157" t="e">
        <f>IF(#REF!&gt;0,1,0)</f>
        <v>#REF!</v>
      </c>
      <c r="AL93" s="157" t="e">
        <f>IF(#REF!&gt;0,1,0)</f>
        <v>#REF!</v>
      </c>
      <c r="AM93" s="157" t="e">
        <f>IF(#REF!&gt;0,1,0)</f>
        <v>#REF!</v>
      </c>
      <c r="AN93" s="157" t="e">
        <f>IF(#REF!&gt;0,1,0)</f>
        <v>#REF!</v>
      </c>
      <c r="AO93" s="157" t="e">
        <f>IF(#REF!&gt;0,1,0)</f>
        <v>#REF!</v>
      </c>
      <c r="AP93" s="162"/>
      <c r="AQ93" s="206"/>
    </row>
    <row r="94" s="10" customFormat="1" ht="66.6" customHeight="1" spans="1:43">
      <c r="A94" s="23">
        <f>SUBTOTAL(3,C$10:C94)</f>
        <v>85</v>
      </c>
      <c r="B94" s="238" t="s">
        <v>3312</v>
      </c>
      <c r="C94" s="239" t="s">
        <v>79</v>
      </c>
      <c r="D94" s="238" t="s">
        <v>3313</v>
      </c>
      <c r="E94" s="239" t="s">
        <v>81</v>
      </c>
      <c r="F94" s="240">
        <v>1502</v>
      </c>
      <c r="G94" s="241" t="s">
        <v>263</v>
      </c>
      <c r="H94" s="242" t="s">
        <v>3314</v>
      </c>
      <c r="I94" s="111"/>
      <c r="J94" s="118"/>
      <c r="K94" s="233" t="s">
        <v>3303</v>
      </c>
      <c r="L94" s="242" t="s">
        <v>737</v>
      </c>
      <c r="M94" s="252"/>
      <c r="N94" s="252"/>
      <c r="O94" s="238" t="s">
        <v>3315</v>
      </c>
      <c r="P94" s="239" t="s">
        <v>3316</v>
      </c>
      <c r="Q94" s="239" t="s">
        <v>359</v>
      </c>
      <c r="R94" s="171" t="s">
        <v>3306</v>
      </c>
      <c r="S94" s="157"/>
      <c r="T94" s="158" t="s">
        <v>722</v>
      </c>
      <c r="U94" s="158" t="s">
        <v>2105</v>
      </c>
      <c r="V94" s="158" t="str">
        <f t="shared" si="82"/>
        <v>农林水农业</v>
      </c>
      <c r="W94" s="158" t="str">
        <f t="shared" si="81"/>
        <v>农业</v>
      </c>
      <c r="X94" s="157"/>
      <c r="Y94" s="157"/>
      <c r="Z94" s="157"/>
      <c r="AA94" s="157"/>
      <c r="AB94" s="157"/>
      <c r="AC94" s="162"/>
      <c r="AD94" s="157" t="str">
        <f t="shared" si="83"/>
        <v>钦南区人民政府7月</v>
      </c>
      <c r="AE94" s="157" t="s">
        <v>92</v>
      </c>
      <c r="AF94" s="157" t="s">
        <v>1980</v>
      </c>
      <c r="AG94" s="201" t="str">
        <f t="shared" si="84"/>
        <v>企业钦南区人民政府</v>
      </c>
      <c r="AH94" s="201" t="str">
        <f t="shared" si="85"/>
        <v>基础设施钦南区人民政府</v>
      </c>
      <c r="AI94" s="201">
        <f t="shared" si="86"/>
        <v>0</v>
      </c>
      <c r="AJ94" s="157"/>
      <c r="AK94" s="157" t="e">
        <f>IF(#REF!&gt;0,1,0)</f>
        <v>#REF!</v>
      </c>
      <c r="AL94" s="157" t="e">
        <f>IF(#REF!&gt;0,1,0)</f>
        <v>#REF!</v>
      </c>
      <c r="AM94" s="157" t="e">
        <f>IF(#REF!&gt;0,1,0)</f>
        <v>#REF!</v>
      </c>
      <c r="AN94" s="157" t="e">
        <f>IF(#REF!&gt;0,1,0)</f>
        <v>#REF!</v>
      </c>
      <c r="AO94" s="157" t="e">
        <f>IF(#REF!&gt;0,1,0)</f>
        <v>#REF!</v>
      </c>
      <c r="AP94" s="162"/>
      <c r="AQ94" s="206"/>
    </row>
    <row r="95" s="4" customFormat="1" ht="71.25" customHeight="1" spans="1:43">
      <c r="A95" s="23">
        <f>SUBTOTAL(3,C$10:C95)</f>
        <v>86</v>
      </c>
      <c r="B95" s="55" t="s">
        <v>3317</v>
      </c>
      <c r="C95" s="87" t="s">
        <v>79</v>
      </c>
      <c r="D95" s="55" t="s">
        <v>3318</v>
      </c>
      <c r="E95" s="35" t="s">
        <v>3319</v>
      </c>
      <c r="F95" s="36">
        <v>50000</v>
      </c>
      <c r="G95" s="81" t="s">
        <v>82</v>
      </c>
      <c r="H95" s="112" t="s">
        <v>3320</v>
      </c>
      <c r="I95" s="111"/>
      <c r="J95" s="67"/>
      <c r="K95" s="233" t="s">
        <v>3321</v>
      </c>
      <c r="L95" s="125" t="s">
        <v>3322</v>
      </c>
      <c r="M95" s="252"/>
      <c r="N95" s="252"/>
      <c r="O95" s="55" t="s">
        <v>3323</v>
      </c>
      <c r="P95" s="35" t="s">
        <v>3324</v>
      </c>
      <c r="Q95" s="35" t="s">
        <v>359</v>
      </c>
      <c r="R95" s="171" t="s">
        <v>3306</v>
      </c>
      <c r="S95" s="157"/>
      <c r="T95" s="158" t="s">
        <v>2110</v>
      </c>
      <c r="U95" s="158" t="s">
        <v>459</v>
      </c>
      <c r="V95" s="158" t="str">
        <f t="shared" si="82"/>
        <v>服务业商贸流通</v>
      </c>
      <c r="W95" s="158" t="str">
        <f t="shared" si="81"/>
        <v>商贸流通</v>
      </c>
      <c r="X95" s="157"/>
      <c r="Y95" s="157"/>
      <c r="Z95" s="157"/>
      <c r="AA95" s="157"/>
      <c r="AB95" s="157"/>
      <c r="AC95" s="181"/>
      <c r="AD95" s="157" t="str">
        <f t="shared" si="83"/>
        <v>钦南区人民政府10月</v>
      </c>
      <c r="AE95" s="157" t="s">
        <v>92</v>
      </c>
      <c r="AF95" s="157" t="s">
        <v>1980</v>
      </c>
      <c r="AG95" s="201" t="str">
        <f t="shared" si="84"/>
        <v>企业钦南区人民政府</v>
      </c>
      <c r="AH95" s="201" t="str">
        <f t="shared" si="85"/>
        <v>基础设施钦南区人民政府</v>
      </c>
      <c r="AI95" s="201">
        <f t="shared" si="86"/>
        <v>0</v>
      </c>
      <c r="AJ95" s="157"/>
      <c r="AK95" s="157" t="e">
        <f>IF(#REF!&gt;0,1,0)</f>
        <v>#REF!</v>
      </c>
      <c r="AL95" s="157" t="e">
        <f>IF(#REF!&gt;0,1,0)</f>
        <v>#REF!</v>
      </c>
      <c r="AM95" s="157" t="e">
        <f>IF(#REF!&gt;0,1,0)</f>
        <v>#REF!</v>
      </c>
      <c r="AN95" s="157" t="e">
        <f>IF(#REF!&gt;0,1,0)</f>
        <v>#REF!</v>
      </c>
      <c r="AO95" s="157" t="e">
        <f>IF(#REF!&gt;0,1,0)</f>
        <v>#REF!</v>
      </c>
      <c r="AP95" s="181"/>
      <c r="AQ95" s="206"/>
    </row>
    <row r="96" s="4" customFormat="1" ht="55.5" customHeight="1" spans="1:63">
      <c r="A96" s="23">
        <f>SUBTOTAL(3,C$7:C96)</f>
        <v>90</v>
      </c>
      <c r="B96" s="233" t="s">
        <v>3325</v>
      </c>
      <c r="C96" s="87" t="s">
        <v>562</v>
      </c>
      <c r="D96" s="233" t="s">
        <v>3326</v>
      </c>
      <c r="E96" s="87" t="s">
        <v>575</v>
      </c>
      <c r="F96" s="234">
        <v>21000</v>
      </c>
      <c r="G96" s="234">
        <v>6000</v>
      </c>
      <c r="H96" s="51" t="s">
        <v>3327</v>
      </c>
      <c r="I96" s="258"/>
      <c r="J96" s="258"/>
      <c r="K96" s="259" t="s">
        <v>3328</v>
      </c>
      <c r="L96" s="253">
        <v>105</v>
      </c>
      <c r="M96" s="253">
        <v>45</v>
      </c>
      <c r="N96" s="259" t="s">
        <v>663</v>
      </c>
      <c r="O96" s="233" t="s">
        <v>3329</v>
      </c>
      <c r="P96" s="87" t="s">
        <v>3330</v>
      </c>
      <c r="Q96" s="35" t="s">
        <v>359</v>
      </c>
      <c r="R96" s="171" t="s">
        <v>3306</v>
      </c>
      <c r="S96" s="91"/>
      <c r="T96" s="158" t="s">
        <v>360</v>
      </c>
      <c r="U96" s="158" t="s">
        <v>91</v>
      </c>
      <c r="V96" s="158" t="str">
        <f t="shared" si="82"/>
        <v>工业钦南区</v>
      </c>
      <c r="W96" s="158" t="str">
        <f>U96</f>
        <v>工业</v>
      </c>
      <c r="X96" s="158"/>
      <c r="Y96" s="161"/>
      <c r="Z96" s="161"/>
      <c r="AA96" s="160"/>
      <c r="AB96" s="157"/>
      <c r="AC96" s="157"/>
      <c r="AD96" s="157"/>
      <c r="AE96" s="157"/>
      <c r="AF96" s="157"/>
      <c r="AG96" s="157"/>
      <c r="AH96" s="157"/>
      <c r="AI96" s="157"/>
      <c r="AJ96" s="157" t="s">
        <v>92</v>
      </c>
      <c r="AK96" s="203" t="s">
        <v>93</v>
      </c>
      <c r="AL96" s="201" t="str">
        <f t="shared" ref="AL96:AL98" si="87">AJ96&amp;Q96</f>
        <v>企业钦南区人民政府</v>
      </c>
      <c r="AM96" s="201" t="str">
        <f t="shared" ref="AM96:AM98" si="88">AK96&amp;Q96</f>
        <v>产业钦南区人民政府</v>
      </c>
      <c r="AN96" s="204" t="e">
        <f>IF(#REF!&gt;0,1,0)</f>
        <v>#REF!</v>
      </c>
      <c r="AO96" s="157" t="e">
        <f>IF(#REF!&lt;1000,"",V96&amp;"1000")</f>
        <v>#REF!</v>
      </c>
      <c r="AP96" s="157" t="e">
        <f>IF(#REF!&lt;2000,"",V96&amp;"2000")</f>
        <v>#REF!</v>
      </c>
      <c r="AQ96" s="157" t="e">
        <f>IF(#REF!&lt;5000,"",V96&amp;"5000")</f>
        <v>#REF!</v>
      </c>
      <c r="AR96" s="157"/>
      <c r="AS96" s="157">
        <f t="shared" ref="AS96:AS98" si="89">IF(L96&gt;0,1,0)</f>
        <v>1</v>
      </c>
      <c r="AT96" s="157" t="e">
        <f>IF(#REF!&gt;0,1,0)</f>
        <v>#REF!</v>
      </c>
      <c r="AU96" s="157" t="e">
        <f>IF(#REF!&gt;0,1,0)</f>
        <v>#REF!</v>
      </c>
      <c r="AV96" s="157" t="e">
        <f>IF(#REF!&gt;0,1,0)</f>
        <v>#REF!</v>
      </c>
      <c r="AW96" s="157" t="e">
        <f>IF(#REF!&gt;0,1,0)</f>
        <v>#REF!</v>
      </c>
      <c r="AX96" s="181"/>
      <c r="AY96" s="206"/>
      <c r="AZ96" s="7"/>
      <c r="BA96" s="206"/>
      <c r="BB96" s="206"/>
      <c r="BC96" s="206"/>
      <c r="BD96" s="206"/>
      <c r="BE96" s="206"/>
      <c r="BF96" s="7"/>
      <c r="BG96" s="7"/>
      <c r="BH96" s="7"/>
      <c r="BI96" s="7"/>
      <c r="BJ96" s="7"/>
      <c r="BK96" s="7"/>
    </row>
    <row r="97" s="9" customFormat="1" ht="47.25" customHeight="1" spans="1:57">
      <c r="A97" s="23">
        <f>SUBTOTAL(3,C$7:C97)</f>
        <v>91</v>
      </c>
      <c r="B97" s="55" t="s">
        <v>3331</v>
      </c>
      <c r="C97" s="35" t="s">
        <v>562</v>
      </c>
      <c r="D97" s="55" t="s">
        <v>3332</v>
      </c>
      <c r="E97" s="35" t="s">
        <v>564</v>
      </c>
      <c r="F97" s="36">
        <v>18000</v>
      </c>
      <c r="G97" s="36">
        <v>600</v>
      </c>
      <c r="H97" s="123" t="s">
        <v>3333</v>
      </c>
      <c r="I97" s="254"/>
      <c r="J97" s="254"/>
      <c r="K97" s="90" t="s">
        <v>3334</v>
      </c>
      <c r="L97" s="132">
        <v>400</v>
      </c>
      <c r="M97" s="132">
        <v>300</v>
      </c>
      <c r="N97" s="90" t="s">
        <v>737</v>
      </c>
      <c r="O97" s="55" t="s">
        <v>3335</v>
      </c>
      <c r="P97" s="35" t="s">
        <v>3336</v>
      </c>
      <c r="Q97" s="35" t="s">
        <v>359</v>
      </c>
      <c r="R97" s="171" t="s">
        <v>3306</v>
      </c>
      <c r="S97" s="91"/>
      <c r="T97" s="158" t="s">
        <v>722</v>
      </c>
      <c r="U97" s="158" t="s">
        <v>2105</v>
      </c>
      <c r="V97" s="158" t="str">
        <f t="shared" si="82"/>
        <v>农林水农业</v>
      </c>
      <c r="W97" s="158" t="str">
        <f>T97</f>
        <v>农业</v>
      </c>
      <c r="X97" s="158"/>
      <c r="Y97" s="165"/>
      <c r="Z97" s="169"/>
      <c r="AA97" s="160"/>
      <c r="AB97" s="165"/>
      <c r="AC97" s="157"/>
      <c r="AD97" s="165"/>
      <c r="AE97" s="157"/>
      <c r="AF97" s="157"/>
      <c r="AG97" s="157"/>
      <c r="AH97" s="157"/>
      <c r="AI97" s="157"/>
      <c r="AJ97" s="157" t="s">
        <v>92</v>
      </c>
      <c r="AK97" s="203" t="s">
        <v>93</v>
      </c>
      <c r="AL97" s="201" t="str">
        <f t="shared" si="87"/>
        <v>企业钦南区人民政府</v>
      </c>
      <c r="AM97" s="201" t="str">
        <f t="shared" si="88"/>
        <v>产业钦南区人民政府</v>
      </c>
      <c r="AN97" s="204" t="e">
        <f>IF(#REF!&gt;0,1,0)</f>
        <v>#REF!</v>
      </c>
      <c r="AO97" s="157" t="e">
        <f>IF(#REF!&lt;1000,"",V97&amp;"1000")</f>
        <v>#REF!</v>
      </c>
      <c r="AP97" s="157" t="e">
        <f>IF(#REF!&lt;2000,"",V97&amp;"2000")</f>
        <v>#REF!</v>
      </c>
      <c r="AQ97" s="157" t="e">
        <f>IF(#REF!&lt;5000,"",V97&amp;"5000")</f>
        <v>#REF!</v>
      </c>
      <c r="AR97" s="157"/>
      <c r="AS97" s="157">
        <f t="shared" si="89"/>
        <v>1</v>
      </c>
      <c r="AT97" s="157" t="e">
        <f>IF(#REF!&gt;0,1,0)</f>
        <v>#REF!</v>
      </c>
      <c r="AU97" s="157" t="e">
        <f>IF(#REF!&gt;0,1,0)</f>
        <v>#REF!</v>
      </c>
      <c r="AV97" s="157" t="e">
        <f>IF(#REF!&gt;0,1,0)</f>
        <v>#REF!</v>
      </c>
      <c r="AW97" s="157" t="e">
        <f>IF(#REF!&gt;0,1,0)</f>
        <v>#REF!</v>
      </c>
      <c r="AX97" s="181"/>
      <c r="AY97" s="206"/>
      <c r="BA97" s="206"/>
      <c r="BB97" s="224"/>
      <c r="BC97" s="206"/>
      <c r="BD97" s="206"/>
      <c r="BE97" s="206"/>
    </row>
    <row r="98" s="4" customFormat="1" ht="68.25" customHeight="1" spans="1:57">
      <c r="A98" s="23">
        <f>SUBTOTAL(3,C$7:C98)</f>
        <v>92</v>
      </c>
      <c r="B98" s="55" t="s">
        <v>3337</v>
      </c>
      <c r="C98" s="35" t="s">
        <v>562</v>
      </c>
      <c r="D98" s="55" t="s">
        <v>3338</v>
      </c>
      <c r="E98" s="35" t="s">
        <v>564</v>
      </c>
      <c r="F98" s="36">
        <v>50000</v>
      </c>
      <c r="G98" s="36">
        <v>20000</v>
      </c>
      <c r="H98" s="123" t="s">
        <v>3339</v>
      </c>
      <c r="I98" s="254"/>
      <c r="J98" s="254"/>
      <c r="K98" s="90" t="s">
        <v>3340</v>
      </c>
      <c r="L98" s="132">
        <v>3500</v>
      </c>
      <c r="M98" s="132">
        <v>500</v>
      </c>
      <c r="N98" s="90" t="s">
        <v>1527</v>
      </c>
      <c r="O98" s="55" t="s">
        <v>3341</v>
      </c>
      <c r="P98" s="35" t="s">
        <v>3342</v>
      </c>
      <c r="Q98" s="35" t="s">
        <v>359</v>
      </c>
      <c r="R98" s="171" t="s">
        <v>3306</v>
      </c>
      <c r="S98" s="91"/>
      <c r="T98" s="158" t="s">
        <v>2121</v>
      </c>
      <c r="U98" s="158" t="s">
        <v>459</v>
      </c>
      <c r="V98" s="158" t="str">
        <f t="shared" si="82"/>
        <v>服务业旅游</v>
      </c>
      <c r="W98" s="158" t="s">
        <v>2051</v>
      </c>
      <c r="X98" s="158"/>
      <c r="Y98" s="157"/>
      <c r="Z98" s="272"/>
      <c r="AA98" s="160"/>
      <c r="AB98" s="157"/>
      <c r="AC98" s="157"/>
      <c r="AD98" s="157"/>
      <c r="AE98" s="157"/>
      <c r="AF98" s="157"/>
      <c r="AG98" s="157"/>
      <c r="AH98" s="157"/>
      <c r="AI98" s="157"/>
      <c r="AJ98" s="157" t="s">
        <v>92</v>
      </c>
      <c r="AK98" s="203" t="s">
        <v>2140</v>
      </c>
      <c r="AL98" s="201" t="str">
        <f t="shared" si="87"/>
        <v>企业钦南区人民政府</v>
      </c>
      <c r="AM98" s="201" t="str">
        <f t="shared" si="88"/>
        <v>民生设施钦南区人民政府</v>
      </c>
      <c r="AN98" s="204" t="e">
        <f>IF(#REF!&gt;0,1,0)</f>
        <v>#REF!</v>
      </c>
      <c r="AO98" s="157" t="e">
        <f>IF(#REF!&lt;1000,"",V98&amp;"1000")</f>
        <v>#REF!</v>
      </c>
      <c r="AP98" s="157" t="e">
        <f>IF(#REF!&lt;2000,"",V98&amp;"2000")</f>
        <v>#REF!</v>
      </c>
      <c r="AQ98" s="157" t="e">
        <f>IF(#REF!&lt;5000,"",V98&amp;"5000")</f>
        <v>#REF!</v>
      </c>
      <c r="AR98" s="157"/>
      <c r="AS98" s="157">
        <f t="shared" si="89"/>
        <v>1</v>
      </c>
      <c r="AT98" s="157" t="e">
        <f>IF(#REF!&gt;0,1,0)</f>
        <v>#REF!</v>
      </c>
      <c r="AU98" s="157" t="e">
        <f>IF(#REF!&gt;0,1,0)</f>
        <v>#REF!</v>
      </c>
      <c r="AV98" s="157" t="e">
        <f>IF(#REF!&gt;0,1,0)</f>
        <v>#REF!</v>
      </c>
      <c r="AW98" s="157" t="e">
        <f>IF(#REF!&gt;0,1,0)</f>
        <v>#REF!</v>
      </c>
      <c r="AX98" s="181"/>
      <c r="AY98" s="206"/>
      <c r="AZ98" s="7"/>
      <c r="BA98" s="206"/>
      <c r="BB98" s="224"/>
      <c r="BC98" s="206"/>
      <c r="BD98" s="206"/>
      <c r="BE98" s="206"/>
    </row>
    <row r="99" s="10" customFormat="1" ht="66.6" customHeight="1" spans="1:45">
      <c r="A99" s="23">
        <f>SUBTOTAL(3,C$10:C99)</f>
        <v>90</v>
      </c>
      <c r="B99" s="233" t="s">
        <v>3343</v>
      </c>
      <c r="C99" s="87" t="s">
        <v>79</v>
      </c>
      <c r="D99" s="233" t="s">
        <v>3344</v>
      </c>
      <c r="E99" s="86" t="s">
        <v>112</v>
      </c>
      <c r="F99" s="87">
        <v>10000</v>
      </c>
      <c r="G99" s="81" t="s">
        <v>195</v>
      </c>
      <c r="H99" s="86" t="s">
        <v>3345</v>
      </c>
      <c r="I99" s="111"/>
      <c r="J99" s="118"/>
      <c r="K99" s="233" t="s">
        <v>3303</v>
      </c>
      <c r="L99" s="260" t="s">
        <v>3346</v>
      </c>
      <c r="M99" s="261">
        <v>300</v>
      </c>
      <c r="N99" s="261">
        <v>120</v>
      </c>
      <c r="O99" s="233" t="s">
        <v>3347</v>
      </c>
      <c r="P99" s="87" t="s">
        <v>3348</v>
      </c>
      <c r="Q99" s="35" t="s">
        <v>359</v>
      </c>
      <c r="R99" s="171" t="s">
        <v>3306</v>
      </c>
      <c r="S99" s="171"/>
      <c r="T99" s="158" t="s">
        <v>722</v>
      </c>
      <c r="U99" s="158" t="s">
        <v>2105</v>
      </c>
      <c r="V99" s="158" t="str">
        <f t="shared" si="82"/>
        <v>农林水农业</v>
      </c>
      <c r="W99" s="158" t="str">
        <f>T99</f>
        <v>农业</v>
      </c>
      <c r="X99" s="167"/>
      <c r="Y99" s="160"/>
      <c r="Z99" s="157"/>
      <c r="AA99" s="157"/>
      <c r="AB99" s="157"/>
      <c r="AC99" s="157"/>
      <c r="AD99" s="157"/>
      <c r="AE99" s="162"/>
      <c r="AF99" s="157" t="str">
        <f t="shared" ref="AF99:AF107" si="90">Q99&amp;G99</f>
        <v>钦南区人民政府3月</v>
      </c>
      <c r="AG99" s="157" t="s">
        <v>92</v>
      </c>
      <c r="AH99" s="157" t="s">
        <v>1980</v>
      </c>
      <c r="AI99" s="201" t="str">
        <f t="shared" ref="AI99:AI107" si="91">AG99&amp;Q99</f>
        <v>企业钦南区人民政府</v>
      </c>
      <c r="AJ99" s="201" t="str">
        <f t="shared" ref="AJ99:AJ107" si="92">AH99&amp;Q99</f>
        <v>基础设施钦南区人民政府</v>
      </c>
      <c r="AK99" s="201">
        <f t="shared" ref="AK99:AK103" si="93">IF(I99&gt;0,1,0)</f>
        <v>0</v>
      </c>
      <c r="AL99" s="157"/>
      <c r="AM99" s="157">
        <f t="shared" ref="AM99:AM107" si="94">IF(M99&gt;0,1,0)</f>
        <v>1</v>
      </c>
      <c r="AN99" s="157" t="e">
        <f>IF(#REF!&gt;0,1,0)</f>
        <v>#REF!</v>
      </c>
      <c r="AO99" s="157" t="e">
        <f>IF(#REF!&gt;0,1,0)</f>
        <v>#REF!</v>
      </c>
      <c r="AP99" s="157" t="e">
        <f>IF(#REF!&gt;0,1,0)</f>
        <v>#REF!</v>
      </c>
      <c r="AQ99" s="157" t="e">
        <f>IF(#REF!&gt;0,1,0)</f>
        <v>#REF!</v>
      </c>
      <c r="AR99" s="162"/>
      <c r="AS99" s="206"/>
    </row>
    <row r="100" s="6" customFormat="1" ht="69" customHeight="1" spans="1:49">
      <c r="A100" s="23">
        <f>SUBTOTAL(3,C$10:C100)</f>
        <v>91</v>
      </c>
      <c r="B100" s="243" t="s">
        <v>3349</v>
      </c>
      <c r="C100" s="35" t="s">
        <v>79</v>
      </c>
      <c r="D100" s="55" t="s">
        <v>3350</v>
      </c>
      <c r="E100" s="35" t="s">
        <v>208</v>
      </c>
      <c r="F100" s="35">
        <v>150000</v>
      </c>
      <c r="G100" s="81" t="s">
        <v>131</v>
      </c>
      <c r="H100" s="34" t="s">
        <v>3351</v>
      </c>
      <c r="I100" s="111"/>
      <c r="J100" s="67"/>
      <c r="K100" s="55" t="s">
        <v>3352</v>
      </c>
      <c r="L100" s="112" t="s">
        <v>3353</v>
      </c>
      <c r="M100" s="132"/>
      <c r="N100" s="132"/>
      <c r="O100" s="55" t="s">
        <v>3354</v>
      </c>
      <c r="P100" s="35" t="s">
        <v>3355</v>
      </c>
      <c r="Q100" s="35" t="s">
        <v>317</v>
      </c>
      <c r="R100" s="171" t="s">
        <v>3356</v>
      </c>
      <c r="S100" s="157"/>
      <c r="T100" s="158" t="s">
        <v>2121</v>
      </c>
      <c r="U100" s="158" t="s">
        <v>459</v>
      </c>
      <c r="V100" s="158" t="str">
        <f t="shared" ref="V100:V110" si="95">U100&amp;T100</f>
        <v>服务业旅游</v>
      </c>
      <c r="W100" s="158" t="s">
        <v>2051</v>
      </c>
      <c r="X100" s="167"/>
      <c r="Y100" s="160"/>
      <c r="Z100" s="157"/>
      <c r="AA100" s="157"/>
      <c r="AB100" s="157"/>
      <c r="AC100" s="157"/>
      <c r="AD100" s="157"/>
      <c r="AE100" s="157"/>
      <c r="AF100" s="157" t="str">
        <f t="shared" si="90"/>
        <v>浦北县人民政府12月</v>
      </c>
      <c r="AG100" s="157" t="s">
        <v>92</v>
      </c>
      <c r="AH100" s="157" t="s">
        <v>1980</v>
      </c>
      <c r="AI100" s="201" t="str">
        <f t="shared" si="91"/>
        <v>企业浦北县人民政府</v>
      </c>
      <c r="AJ100" s="201" t="str">
        <f t="shared" si="92"/>
        <v>基础设施浦北县人民政府</v>
      </c>
      <c r="AK100" s="201">
        <f t="shared" si="93"/>
        <v>0</v>
      </c>
      <c r="AL100" s="157"/>
      <c r="AM100" s="157" t="e">
        <f>IF(#REF!&gt;0,1,0)</f>
        <v>#REF!</v>
      </c>
      <c r="AN100" s="157" t="e">
        <f>IF(#REF!&gt;0,1,0)</f>
        <v>#REF!</v>
      </c>
      <c r="AO100" s="157" t="e">
        <f>IF(#REF!&gt;0,1,0)</f>
        <v>#REF!</v>
      </c>
      <c r="AP100" s="157">
        <f>IF(N100&gt;0,1,0)</f>
        <v>0</v>
      </c>
      <c r="AQ100" s="157" t="e">
        <f>IF(#REF!&gt;0,1,0)</f>
        <v>#REF!</v>
      </c>
      <c r="AR100" s="157"/>
      <c r="AS100" s="206"/>
      <c r="AT100" s="6" t="s">
        <v>1937</v>
      </c>
      <c r="AV100" s="7" t="s">
        <v>1890</v>
      </c>
      <c r="AW100" s="229"/>
    </row>
    <row r="101" s="9" customFormat="1" ht="72.75" customHeight="1" spans="1:57">
      <c r="A101" s="23">
        <f>SUBTOTAL(3,C$7:C101)</f>
        <v>95</v>
      </c>
      <c r="B101" s="55" t="s">
        <v>3357</v>
      </c>
      <c r="C101" s="35" t="s">
        <v>562</v>
      </c>
      <c r="D101" s="55" t="s">
        <v>3358</v>
      </c>
      <c r="E101" s="35" t="s">
        <v>575</v>
      </c>
      <c r="F101" s="35">
        <v>8315</v>
      </c>
      <c r="G101" s="35">
        <v>500</v>
      </c>
      <c r="H101" s="123" t="s">
        <v>775</v>
      </c>
      <c r="I101" s="254"/>
      <c r="J101" s="254"/>
      <c r="K101" s="55" t="s">
        <v>2052</v>
      </c>
      <c r="L101" s="262" t="s">
        <v>1170</v>
      </c>
      <c r="M101" s="132"/>
      <c r="N101" s="132"/>
      <c r="O101" s="55" t="s">
        <v>1311</v>
      </c>
      <c r="P101" s="35" t="s">
        <v>2663</v>
      </c>
      <c r="Q101" s="35" t="s">
        <v>269</v>
      </c>
      <c r="R101" s="91"/>
      <c r="S101" s="157"/>
      <c r="T101" s="158" t="s">
        <v>2051</v>
      </c>
      <c r="U101" s="158" t="s">
        <v>2017</v>
      </c>
      <c r="V101" s="158" t="str">
        <f t="shared" si="95"/>
        <v>城市基础设施其他</v>
      </c>
      <c r="W101" s="158" t="s">
        <v>2018</v>
      </c>
      <c r="X101" s="158"/>
      <c r="Y101" s="161"/>
      <c r="Z101" s="161"/>
      <c r="AA101" s="160"/>
      <c r="AB101" s="157"/>
      <c r="AC101" s="157"/>
      <c r="AD101" s="157"/>
      <c r="AE101" s="157"/>
      <c r="AF101" s="157"/>
      <c r="AG101" s="157"/>
      <c r="AH101" s="157"/>
      <c r="AI101" s="157"/>
      <c r="AJ101" s="201" t="s">
        <v>92</v>
      </c>
      <c r="AK101" s="203" t="s">
        <v>2140</v>
      </c>
      <c r="AL101" s="201" t="str">
        <f>AJ101&amp;Q101</f>
        <v>企业灵山县人民政府</v>
      </c>
      <c r="AM101" s="201" t="str">
        <f>AK101&amp;Q101</f>
        <v>民生设施灵山县人民政府</v>
      </c>
      <c r="AN101" s="204" t="e">
        <f>IF(#REF!&gt;0,1,0)</f>
        <v>#REF!</v>
      </c>
      <c r="AO101" s="157" t="e">
        <f>IF(#REF!&lt;1000,"",V101&amp;"1000")</f>
        <v>#REF!</v>
      </c>
      <c r="AP101" s="157" t="e">
        <f>IF(#REF!&lt;2000,"",V101&amp;"2000")</f>
        <v>#REF!</v>
      </c>
      <c r="AQ101" s="157" t="e">
        <f>IF(#REF!&lt;5000,"",V101&amp;"5000")</f>
        <v>#REF!</v>
      </c>
      <c r="AR101" s="157"/>
      <c r="AS101" s="157">
        <f>IF(M101&gt;0,1,0)</f>
        <v>0</v>
      </c>
      <c r="AT101" s="157" t="e">
        <f>IF(#REF!&gt;0,1,0)</f>
        <v>#REF!</v>
      </c>
      <c r="AU101" s="157" t="e">
        <f>IF(#REF!&gt;0,1,0)</f>
        <v>#REF!</v>
      </c>
      <c r="AV101" s="157" t="e">
        <f>IF(#REF!&gt;0,1,0)</f>
        <v>#REF!</v>
      </c>
      <c r="AW101" s="157" t="e">
        <f>IF(#REF!&gt;0,1,0)</f>
        <v>#REF!</v>
      </c>
      <c r="AX101" s="181"/>
      <c r="AY101" s="206"/>
      <c r="BA101" s="206"/>
      <c r="BB101" s="224"/>
      <c r="BC101" s="206"/>
      <c r="BD101" s="206"/>
      <c r="BE101" s="206"/>
    </row>
    <row r="102" s="4" customFormat="1" ht="83.65" customHeight="1" spans="1:57">
      <c r="A102" s="23">
        <f>SUBTOTAL(3,C$7:C102)</f>
        <v>96</v>
      </c>
      <c r="B102" s="55" t="s">
        <v>3359</v>
      </c>
      <c r="C102" s="35" t="s">
        <v>562</v>
      </c>
      <c r="D102" s="55" t="s">
        <v>3360</v>
      </c>
      <c r="E102" s="35" t="s">
        <v>575</v>
      </c>
      <c r="F102" s="35">
        <v>65187</v>
      </c>
      <c r="G102" s="35">
        <v>1765</v>
      </c>
      <c r="H102" s="123" t="s">
        <v>3361</v>
      </c>
      <c r="I102" s="254"/>
      <c r="J102" s="254"/>
      <c r="K102" s="55" t="s">
        <v>2052</v>
      </c>
      <c r="L102" s="90" t="s">
        <v>117</v>
      </c>
      <c r="M102" s="132"/>
      <c r="N102" s="132"/>
      <c r="O102" s="55" t="s">
        <v>1311</v>
      </c>
      <c r="P102" s="35" t="s">
        <v>2663</v>
      </c>
      <c r="Q102" s="35" t="s">
        <v>269</v>
      </c>
      <c r="R102" s="91"/>
      <c r="S102" s="157"/>
      <c r="T102" s="161" t="s">
        <v>2051</v>
      </c>
      <c r="U102" s="158" t="s">
        <v>2061</v>
      </c>
      <c r="V102" s="158" t="str">
        <f t="shared" si="95"/>
        <v>园区基础设施其他</v>
      </c>
      <c r="W102" s="158" t="s">
        <v>2018</v>
      </c>
      <c r="X102" s="158"/>
      <c r="Y102" s="157"/>
      <c r="Z102" s="159"/>
      <c r="AA102" s="160"/>
      <c r="AB102" s="157"/>
      <c r="AC102" s="157"/>
      <c r="AD102" s="157"/>
      <c r="AE102" s="157"/>
      <c r="AF102" s="157"/>
      <c r="AG102" s="157"/>
      <c r="AH102" s="157"/>
      <c r="AI102" s="157"/>
      <c r="AJ102" s="157" t="s">
        <v>92</v>
      </c>
      <c r="AK102" s="203" t="s">
        <v>1980</v>
      </c>
      <c r="AL102" s="201" t="str">
        <f>AJ102&amp;Q102</f>
        <v>企业灵山县人民政府</v>
      </c>
      <c r="AM102" s="201" t="str">
        <f>AK102&amp;Q102</f>
        <v>基础设施灵山县人民政府</v>
      </c>
      <c r="AN102" s="204" t="e">
        <f>IF(#REF!&gt;0,1,0)</f>
        <v>#REF!</v>
      </c>
      <c r="AO102" s="157" t="e">
        <f>IF(#REF!&lt;1000,"",V102&amp;"1000")</f>
        <v>#REF!</v>
      </c>
      <c r="AP102" s="157" t="e">
        <f>IF(#REF!&lt;2000,"",V102&amp;"2000")</f>
        <v>#REF!</v>
      </c>
      <c r="AQ102" s="157" t="e">
        <f>IF(#REF!&lt;5000,"",V102&amp;"5000")</f>
        <v>#REF!</v>
      </c>
      <c r="AR102" s="157"/>
      <c r="AS102" s="157">
        <f>IF(M102&gt;0,1,0)</f>
        <v>0</v>
      </c>
      <c r="AT102" s="157" t="e">
        <f>IF(#REF!&gt;0,1,0)</f>
        <v>#REF!</v>
      </c>
      <c r="AU102" s="157" t="e">
        <f>IF(#REF!&gt;0,1,0)</f>
        <v>#REF!</v>
      </c>
      <c r="AV102" s="157" t="e">
        <f>IF(#REF!&gt;0,1,0)</f>
        <v>#REF!</v>
      </c>
      <c r="AW102" s="157" t="e">
        <f>IF(#REF!&gt;0,1,0)</f>
        <v>#REF!</v>
      </c>
      <c r="AX102" s="181"/>
      <c r="AY102" s="206"/>
      <c r="AZ102" s="7"/>
      <c r="BA102" s="206"/>
      <c r="BB102" s="225"/>
      <c r="BC102" s="206"/>
      <c r="BD102" s="206"/>
      <c r="BE102" s="206"/>
    </row>
    <row r="103" s="4" customFormat="1" ht="71.25" customHeight="1" spans="1:46">
      <c r="A103" s="23">
        <f>SUBTOTAL(3,C$10:C103)</f>
        <v>94</v>
      </c>
      <c r="B103" s="60" t="s">
        <v>3362</v>
      </c>
      <c r="C103" s="59" t="s">
        <v>79</v>
      </c>
      <c r="D103" s="60" t="s">
        <v>3363</v>
      </c>
      <c r="E103" s="59" t="s">
        <v>112</v>
      </c>
      <c r="F103" s="59">
        <v>14000</v>
      </c>
      <c r="G103" s="81" t="s">
        <v>209</v>
      </c>
      <c r="H103" s="58" t="s">
        <v>3364</v>
      </c>
      <c r="I103" s="61"/>
      <c r="J103" s="134"/>
      <c r="K103" s="60" t="s">
        <v>3365</v>
      </c>
      <c r="L103" s="60" t="s">
        <v>117</v>
      </c>
      <c r="M103" s="251"/>
      <c r="N103" s="251"/>
      <c r="O103" s="60" t="s">
        <v>3366</v>
      </c>
      <c r="P103" s="59" t="s">
        <v>3367</v>
      </c>
      <c r="Q103" s="59" t="s">
        <v>166</v>
      </c>
      <c r="R103" s="93" t="s">
        <v>3368</v>
      </c>
      <c r="S103" s="157"/>
      <c r="T103" s="158" t="s">
        <v>167</v>
      </c>
      <c r="U103" s="158" t="s">
        <v>420</v>
      </c>
      <c r="V103" s="158" t="str">
        <f t="shared" si="95"/>
        <v>能源保税港</v>
      </c>
      <c r="W103" s="158" t="s">
        <v>91</v>
      </c>
      <c r="X103" s="159"/>
      <c r="Y103" s="160"/>
      <c r="Z103" s="157"/>
      <c r="AA103" s="157"/>
      <c r="AB103" s="157"/>
      <c r="AC103" s="157"/>
      <c r="AD103" s="157"/>
      <c r="AE103" s="181"/>
      <c r="AF103" s="157" t="str">
        <f t="shared" si="90"/>
        <v>钦州保税港区管委8月</v>
      </c>
      <c r="AG103" s="157" t="s">
        <v>92</v>
      </c>
      <c r="AH103" s="157" t="s">
        <v>1980</v>
      </c>
      <c r="AI103" s="201" t="str">
        <f t="shared" si="91"/>
        <v>企业钦州保税港区管委</v>
      </c>
      <c r="AJ103" s="201" t="str">
        <f t="shared" si="92"/>
        <v>基础设施钦州保税港区管委</v>
      </c>
      <c r="AK103" s="201">
        <f t="shared" si="93"/>
        <v>0</v>
      </c>
      <c r="AL103" s="157"/>
      <c r="AM103" s="157">
        <f t="shared" si="94"/>
        <v>0</v>
      </c>
      <c r="AN103" s="157" t="e">
        <f>IF(#REF!&gt;0,1,0)</f>
        <v>#REF!</v>
      </c>
      <c r="AO103" s="157" t="e">
        <f>IF(#REF!&gt;0,1,0)</f>
        <v>#REF!</v>
      </c>
      <c r="AP103" s="157" t="e">
        <f>IF(#REF!&gt;0,1,0)</f>
        <v>#REF!</v>
      </c>
      <c r="AQ103" s="157" t="e">
        <f>IF(#REF!&gt;0,1,0)</f>
        <v>#REF!</v>
      </c>
      <c r="AR103" s="181"/>
      <c r="AS103" s="206"/>
      <c r="AT103" s="4" t="s">
        <v>1937</v>
      </c>
    </row>
    <row r="104" s="7" customFormat="1" ht="102.75" customHeight="1" spans="1:48">
      <c r="A104" s="23">
        <f>SUBTOTAL(3,C$10:C104)</f>
        <v>95</v>
      </c>
      <c r="B104" s="60" t="s">
        <v>3369</v>
      </c>
      <c r="C104" s="59" t="s">
        <v>79</v>
      </c>
      <c r="D104" s="60" t="s">
        <v>3370</v>
      </c>
      <c r="E104" s="59" t="s">
        <v>81</v>
      </c>
      <c r="F104" s="59">
        <v>1020000</v>
      </c>
      <c r="G104" s="83" t="s">
        <v>82</v>
      </c>
      <c r="H104" s="58" t="s">
        <v>3371</v>
      </c>
      <c r="I104" s="111"/>
      <c r="J104" s="67"/>
      <c r="K104" s="60" t="s">
        <v>3372</v>
      </c>
      <c r="L104" s="58" t="s">
        <v>3373</v>
      </c>
      <c r="M104" s="251">
        <v>1350</v>
      </c>
      <c r="N104" s="251">
        <v>500</v>
      </c>
      <c r="O104" s="60" t="s">
        <v>3374</v>
      </c>
      <c r="P104" s="59" t="s">
        <v>3375</v>
      </c>
      <c r="Q104" s="67" t="s">
        <v>3376</v>
      </c>
      <c r="R104" s="93" t="s">
        <v>3377</v>
      </c>
      <c r="S104" s="157"/>
      <c r="T104" s="158" t="s">
        <v>90</v>
      </c>
      <c r="U104" s="158" t="s">
        <v>91</v>
      </c>
      <c r="V104" s="158" t="str">
        <f t="shared" si="95"/>
        <v>工业钦州港</v>
      </c>
      <c r="W104" s="158" t="str">
        <f t="shared" ref="W104:W108" si="96">U104</f>
        <v>工业</v>
      </c>
      <c r="X104" s="161"/>
      <c r="Y104" s="160"/>
      <c r="Z104" s="157"/>
      <c r="AA104" s="157"/>
      <c r="AB104" s="157"/>
      <c r="AC104" s="157"/>
      <c r="AD104" s="157"/>
      <c r="AE104" s="181"/>
      <c r="AF104" s="157" t="str">
        <f t="shared" si="90"/>
        <v>市石化局、钦州港区管委10月</v>
      </c>
      <c r="AG104" s="157" t="s">
        <v>205</v>
      </c>
      <c r="AH104" s="157" t="s">
        <v>93</v>
      </c>
      <c r="AI104" s="201" t="str">
        <f t="shared" si="91"/>
        <v>政府市石化局、钦州港区管委</v>
      </c>
      <c r="AJ104" s="201" t="str">
        <f t="shared" si="92"/>
        <v>产业市石化局、钦州港区管委</v>
      </c>
      <c r="AK104" s="201"/>
      <c r="AL104" s="157"/>
      <c r="AM104" s="157">
        <f t="shared" si="94"/>
        <v>1</v>
      </c>
      <c r="AN104" s="157" t="e">
        <f>IF(#REF!&gt;0,1,0)</f>
        <v>#REF!</v>
      </c>
      <c r="AO104" s="157" t="e">
        <f>IF(#REF!&gt;0,1,0)</f>
        <v>#REF!</v>
      </c>
      <c r="AP104" s="157" t="e">
        <f>IF(#REF!&gt;0,1,0)</f>
        <v>#REF!</v>
      </c>
      <c r="AQ104" s="157" t="e">
        <f>IF(#REF!&gt;0,1,0)</f>
        <v>#REF!</v>
      </c>
      <c r="AR104" s="181"/>
      <c r="AS104" s="206"/>
      <c r="AV104" s="7" t="s">
        <v>1890</v>
      </c>
    </row>
    <row r="105" s="4" customFormat="1" ht="69" customHeight="1" spans="1:45">
      <c r="A105" s="23">
        <f>SUBTOTAL(3,C$10:C105)</f>
        <v>96</v>
      </c>
      <c r="B105" s="55" t="s">
        <v>3378</v>
      </c>
      <c r="C105" s="23" t="s">
        <v>79</v>
      </c>
      <c r="D105" s="55" t="s">
        <v>3379</v>
      </c>
      <c r="E105" s="35" t="s">
        <v>112</v>
      </c>
      <c r="F105" s="38">
        <v>60000</v>
      </c>
      <c r="G105" s="83" t="s">
        <v>263</v>
      </c>
      <c r="H105" s="123" t="s">
        <v>123</v>
      </c>
      <c r="I105" s="111"/>
      <c r="J105" s="67"/>
      <c r="K105" s="90" t="s">
        <v>2087</v>
      </c>
      <c r="L105" s="90" t="s">
        <v>117</v>
      </c>
      <c r="M105" s="132"/>
      <c r="N105" s="132"/>
      <c r="O105" s="55" t="s">
        <v>1649</v>
      </c>
      <c r="P105" s="67" t="s">
        <v>2094</v>
      </c>
      <c r="Q105" s="67" t="s">
        <v>119</v>
      </c>
      <c r="R105" s="93" t="s">
        <v>3356</v>
      </c>
      <c r="S105" s="157"/>
      <c r="T105" s="158" t="s">
        <v>90</v>
      </c>
      <c r="U105" s="158" t="s">
        <v>91</v>
      </c>
      <c r="V105" s="158" t="str">
        <f t="shared" si="95"/>
        <v>工业钦州港</v>
      </c>
      <c r="W105" s="158" t="str">
        <f t="shared" si="96"/>
        <v>工业</v>
      </c>
      <c r="X105" s="161"/>
      <c r="Y105" s="160"/>
      <c r="Z105" s="157"/>
      <c r="AA105" s="157"/>
      <c r="AB105" s="157"/>
      <c r="AC105" s="157"/>
      <c r="AD105" s="157"/>
      <c r="AE105" s="181"/>
      <c r="AF105" s="157" t="str">
        <f t="shared" si="90"/>
        <v>钦州港区管委7月</v>
      </c>
      <c r="AG105" s="157" t="s">
        <v>92</v>
      </c>
      <c r="AH105" s="157" t="s">
        <v>93</v>
      </c>
      <c r="AI105" s="201" t="str">
        <f t="shared" si="91"/>
        <v>企业钦州港区管委</v>
      </c>
      <c r="AJ105" s="201" t="str">
        <f t="shared" si="92"/>
        <v>产业钦州港区管委</v>
      </c>
      <c r="AK105" s="201"/>
      <c r="AL105" s="157"/>
      <c r="AM105" s="157">
        <f t="shared" si="94"/>
        <v>0</v>
      </c>
      <c r="AN105" s="157" t="e">
        <f>IF(#REF!&gt;0,1,0)</f>
        <v>#REF!</v>
      </c>
      <c r="AO105" s="157" t="e">
        <f>IF(#REF!&gt;0,1,0)</f>
        <v>#REF!</v>
      </c>
      <c r="AP105" s="157" t="e">
        <f>IF(#REF!&gt;0,1,0)</f>
        <v>#REF!</v>
      </c>
      <c r="AQ105" s="157" t="e">
        <f>IF(#REF!&gt;0,1,0)</f>
        <v>#REF!</v>
      </c>
      <c r="AR105" s="181"/>
      <c r="AS105" s="206"/>
    </row>
    <row r="106" s="4" customFormat="1" ht="81.75" customHeight="1" spans="1:45">
      <c r="A106" s="23">
        <f>SUBTOTAL(3,C$10:C106)</f>
        <v>97</v>
      </c>
      <c r="B106" s="60" t="s">
        <v>3380</v>
      </c>
      <c r="C106" s="23" t="s">
        <v>79</v>
      </c>
      <c r="D106" s="88" t="s">
        <v>3381</v>
      </c>
      <c r="E106" s="23" t="s">
        <v>112</v>
      </c>
      <c r="F106" s="67">
        <v>15500</v>
      </c>
      <c r="G106" s="81" t="s">
        <v>82</v>
      </c>
      <c r="H106" s="123" t="s">
        <v>284</v>
      </c>
      <c r="I106" s="111"/>
      <c r="J106" s="118"/>
      <c r="K106" s="90" t="s">
        <v>3382</v>
      </c>
      <c r="L106" s="112" t="s">
        <v>3383</v>
      </c>
      <c r="M106" s="132">
        <v>62</v>
      </c>
      <c r="N106" s="132"/>
      <c r="O106" s="54" t="s">
        <v>1137</v>
      </c>
      <c r="P106" s="67" t="s">
        <v>1992</v>
      </c>
      <c r="Q106" s="67" t="s">
        <v>1138</v>
      </c>
      <c r="R106" s="93" t="s">
        <v>3356</v>
      </c>
      <c r="S106" s="157"/>
      <c r="T106" s="161" t="s">
        <v>1993</v>
      </c>
      <c r="U106" s="161" t="s">
        <v>1978</v>
      </c>
      <c r="V106" s="158" t="str">
        <f t="shared" si="95"/>
        <v>交通铁路</v>
      </c>
      <c r="W106" s="158" t="str">
        <f>T106</f>
        <v>铁路</v>
      </c>
      <c r="X106" s="159"/>
      <c r="Y106" s="160"/>
      <c r="Z106" s="157"/>
      <c r="AA106" s="157"/>
      <c r="AB106" s="157"/>
      <c r="AC106" s="157"/>
      <c r="AD106" s="157"/>
      <c r="AE106" s="181"/>
      <c r="AF106" s="157" t="str">
        <f t="shared" si="90"/>
        <v>市交通运输局、钦州港区管委10月</v>
      </c>
      <c r="AG106" s="157" t="s">
        <v>92</v>
      </c>
      <c r="AH106" s="157" t="s">
        <v>1980</v>
      </c>
      <c r="AI106" s="201" t="str">
        <f t="shared" si="91"/>
        <v>企业市交通运输局、钦州港区管委</v>
      </c>
      <c r="AJ106" s="201" t="str">
        <f t="shared" si="92"/>
        <v>基础设施市交通运输局、钦州港区管委</v>
      </c>
      <c r="AK106" s="201">
        <f>IF(I106&gt;0,1,0)</f>
        <v>0</v>
      </c>
      <c r="AL106" s="157"/>
      <c r="AM106" s="157">
        <f t="shared" si="94"/>
        <v>1</v>
      </c>
      <c r="AN106" s="157" t="e">
        <f>IF(#REF!&gt;0,1,0)</f>
        <v>#REF!</v>
      </c>
      <c r="AO106" s="157" t="e">
        <f>IF(#REF!&gt;0,1,0)</f>
        <v>#REF!</v>
      </c>
      <c r="AP106" s="157" t="e">
        <f>IF(#REF!&gt;0,1,0)</f>
        <v>#REF!</v>
      </c>
      <c r="AQ106" s="157" t="e">
        <f>IF(#REF!&gt;0,1,0)</f>
        <v>#REF!</v>
      </c>
      <c r="AR106" s="181"/>
      <c r="AS106" s="206"/>
    </row>
    <row r="107" s="4" customFormat="1" ht="81.75" customHeight="1" spans="1:45">
      <c r="A107" s="23">
        <f>SUBTOTAL(3,C$10:C107)</f>
        <v>98</v>
      </c>
      <c r="B107" s="60" t="s">
        <v>3384</v>
      </c>
      <c r="C107" s="23" t="s">
        <v>79</v>
      </c>
      <c r="D107" s="88" t="s">
        <v>3385</v>
      </c>
      <c r="E107" s="23" t="s">
        <v>112</v>
      </c>
      <c r="F107" s="67">
        <v>28500</v>
      </c>
      <c r="G107" s="81" t="s">
        <v>209</v>
      </c>
      <c r="H107" s="123" t="s">
        <v>284</v>
      </c>
      <c r="I107" s="111"/>
      <c r="J107" s="118"/>
      <c r="K107" s="90" t="s">
        <v>3382</v>
      </c>
      <c r="L107" s="112" t="s">
        <v>3386</v>
      </c>
      <c r="M107" s="132">
        <v>62</v>
      </c>
      <c r="N107" s="132"/>
      <c r="O107" s="54" t="s">
        <v>2986</v>
      </c>
      <c r="P107" s="67" t="s">
        <v>3387</v>
      </c>
      <c r="Q107" s="67" t="s">
        <v>1138</v>
      </c>
      <c r="R107" s="93" t="s">
        <v>3356</v>
      </c>
      <c r="S107" s="157"/>
      <c r="T107" s="161" t="s">
        <v>1993</v>
      </c>
      <c r="U107" s="161" t="s">
        <v>1978</v>
      </c>
      <c r="V107" s="158" t="str">
        <f t="shared" si="95"/>
        <v>交通铁路</v>
      </c>
      <c r="W107" s="158" t="str">
        <f>T107</f>
        <v>铁路</v>
      </c>
      <c r="X107" s="159"/>
      <c r="Y107" s="160"/>
      <c r="Z107" s="157"/>
      <c r="AA107" s="157"/>
      <c r="AB107" s="157"/>
      <c r="AC107" s="157"/>
      <c r="AD107" s="157"/>
      <c r="AE107" s="181"/>
      <c r="AF107" s="157" t="str">
        <f t="shared" si="90"/>
        <v>市交通运输局、钦州港区管委8月</v>
      </c>
      <c r="AG107" s="157" t="s">
        <v>92</v>
      </c>
      <c r="AH107" s="157" t="s">
        <v>1980</v>
      </c>
      <c r="AI107" s="201" t="str">
        <f t="shared" si="91"/>
        <v>企业市交通运输局、钦州港区管委</v>
      </c>
      <c r="AJ107" s="201" t="str">
        <f t="shared" si="92"/>
        <v>基础设施市交通运输局、钦州港区管委</v>
      </c>
      <c r="AK107" s="201">
        <f>IF(I107&gt;0,1,0)</f>
        <v>0</v>
      </c>
      <c r="AL107" s="157"/>
      <c r="AM107" s="157">
        <f t="shared" si="94"/>
        <v>1</v>
      </c>
      <c r="AN107" s="157" t="e">
        <f>IF(#REF!&gt;0,1,0)</f>
        <v>#REF!</v>
      </c>
      <c r="AO107" s="157" t="e">
        <f>IF(#REF!&gt;0,1,0)</f>
        <v>#REF!</v>
      </c>
      <c r="AP107" s="157" t="e">
        <f>IF(#REF!&gt;0,1,0)</f>
        <v>#REF!</v>
      </c>
      <c r="AQ107" s="157" t="e">
        <f>IF(#REF!&gt;0,1,0)</f>
        <v>#REF!</v>
      </c>
      <c r="AR107" s="181"/>
      <c r="AS107" s="206"/>
    </row>
    <row r="108" s="9" customFormat="1" ht="92.25" customHeight="1" spans="1:53">
      <c r="A108" s="23">
        <f>SUBTOTAL(3,C$7:C108)</f>
        <v>102</v>
      </c>
      <c r="B108" s="60" t="s">
        <v>3388</v>
      </c>
      <c r="C108" s="23" t="s">
        <v>562</v>
      </c>
      <c r="D108" s="60" t="s">
        <v>3389</v>
      </c>
      <c r="E108" s="23" t="s">
        <v>564</v>
      </c>
      <c r="F108" s="67">
        <v>100000</v>
      </c>
      <c r="G108" s="67">
        <v>24936</v>
      </c>
      <c r="H108" s="244" t="s">
        <v>3390</v>
      </c>
      <c r="I108" s="263"/>
      <c r="J108" s="263"/>
      <c r="K108" s="90" t="s">
        <v>3391</v>
      </c>
      <c r="L108" s="90" t="s">
        <v>3392</v>
      </c>
      <c r="M108" s="132"/>
      <c r="N108" s="132"/>
      <c r="O108" s="54" t="s">
        <v>3393</v>
      </c>
      <c r="P108" s="67" t="s">
        <v>3394</v>
      </c>
      <c r="Q108" s="67" t="s">
        <v>119</v>
      </c>
      <c r="R108" s="93" t="s">
        <v>3356</v>
      </c>
      <c r="S108" s="157"/>
      <c r="T108" s="158" t="s">
        <v>2110</v>
      </c>
      <c r="U108" s="158" t="s">
        <v>459</v>
      </c>
      <c r="V108" s="158" t="str">
        <f t="shared" si="95"/>
        <v>服务业商贸流通</v>
      </c>
      <c r="W108" s="158" t="str">
        <f t="shared" si="96"/>
        <v>服务业</v>
      </c>
      <c r="X108" s="161"/>
      <c r="Y108" s="161"/>
      <c r="Z108" s="161"/>
      <c r="AA108" s="160"/>
      <c r="AB108" s="157"/>
      <c r="AC108" s="157"/>
      <c r="AD108" s="157"/>
      <c r="AE108" s="157"/>
      <c r="AF108" s="157"/>
      <c r="AG108" s="157"/>
      <c r="AH108" s="157"/>
      <c r="AI108" s="157"/>
      <c r="AJ108" s="201" t="s">
        <v>92</v>
      </c>
      <c r="AK108" s="203" t="s">
        <v>1980</v>
      </c>
      <c r="AL108" s="201" t="str">
        <f t="shared" ref="AL108:AL110" si="97">AJ108&amp;Q108</f>
        <v>企业钦州港区管委</v>
      </c>
      <c r="AM108" s="201" t="str">
        <f t="shared" ref="AM108:AM110" si="98">AK108&amp;Q108</f>
        <v>基础设施钦州港区管委</v>
      </c>
      <c r="AN108" s="204" t="e">
        <f>IF(#REF!&gt;0,1,0)</f>
        <v>#REF!</v>
      </c>
      <c r="AO108" s="157" t="e">
        <f>IF(#REF!&lt;1000,"",V108&amp;"1000")</f>
        <v>#REF!</v>
      </c>
      <c r="AP108" s="157" t="e">
        <f>IF(#REF!&lt;2000,"",V108&amp;"2000")</f>
        <v>#REF!</v>
      </c>
      <c r="AQ108" s="157" t="e">
        <f>IF(#REF!&lt;5000,"",V108&amp;"5000")</f>
        <v>#REF!</v>
      </c>
      <c r="AR108" s="157"/>
      <c r="AS108" s="157">
        <f>IF(M108&gt;0,1,0)</f>
        <v>0</v>
      </c>
      <c r="AT108" s="157" t="e">
        <f>IF(#REF!&gt;0,1,0)</f>
        <v>#REF!</v>
      </c>
      <c r="AU108" s="157" t="e">
        <f>IF(#REF!&gt;0,1,0)</f>
        <v>#REF!</v>
      </c>
      <c r="AV108" s="157" t="e">
        <f>IF(#REF!&gt;0,1,0)</f>
        <v>#REF!</v>
      </c>
      <c r="AW108" s="157" t="e">
        <f>IF(#REF!&gt;0,1,0)</f>
        <v>#REF!</v>
      </c>
      <c r="AX108" s="157"/>
      <c r="AY108" s="206"/>
      <c r="BA108" s="7" t="s">
        <v>1890</v>
      </c>
    </row>
    <row r="109" s="9" customFormat="1" ht="97.5" customHeight="1" spans="1:50">
      <c r="A109" s="23">
        <f>SUBTOTAL(3,C$7:C109)</f>
        <v>103</v>
      </c>
      <c r="B109" s="55" t="s">
        <v>3395</v>
      </c>
      <c r="C109" s="35" t="s">
        <v>562</v>
      </c>
      <c r="D109" s="55" t="s">
        <v>3396</v>
      </c>
      <c r="E109" s="35" t="s">
        <v>1271</v>
      </c>
      <c r="F109" s="38">
        <v>49911.28</v>
      </c>
      <c r="G109" s="38">
        <v>28486</v>
      </c>
      <c r="H109" s="123" t="s">
        <v>3397</v>
      </c>
      <c r="I109" s="254"/>
      <c r="J109" s="254"/>
      <c r="K109" s="90" t="s">
        <v>3398</v>
      </c>
      <c r="L109" s="90" t="s">
        <v>2421</v>
      </c>
      <c r="M109" s="132"/>
      <c r="N109" s="132"/>
      <c r="O109" s="55" t="s">
        <v>1003</v>
      </c>
      <c r="P109" s="35" t="s">
        <v>2067</v>
      </c>
      <c r="Q109" s="35" t="s">
        <v>119</v>
      </c>
      <c r="R109" s="91" t="s">
        <v>3399</v>
      </c>
      <c r="S109" s="165"/>
      <c r="T109" s="161" t="s">
        <v>2020</v>
      </c>
      <c r="U109" s="161" t="s">
        <v>2061</v>
      </c>
      <c r="V109" s="158" t="str">
        <f t="shared" si="95"/>
        <v>园区基础设施路网工程</v>
      </c>
      <c r="W109" s="158" t="s">
        <v>2021</v>
      </c>
      <c r="X109" s="158"/>
      <c r="Y109" s="165"/>
      <c r="Z109" s="169"/>
      <c r="AA109" s="165"/>
      <c r="AB109" s="165"/>
      <c r="AC109" s="165"/>
      <c r="AD109" s="165"/>
      <c r="AE109" s="165"/>
      <c r="AF109" s="169"/>
      <c r="AG109" s="169"/>
      <c r="AH109" s="169"/>
      <c r="AI109" s="165"/>
      <c r="AJ109" s="201" t="s">
        <v>205</v>
      </c>
      <c r="AK109" s="203" t="s">
        <v>1980</v>
      </c>
      <c r="AL109" s="201" t="str">
        <f t="shared" si="97"/>
        <v>政府钦州港区管委</v>
      </c>
      <c r="AM109" s="201" t="str">
        <f t="shared" si="98"/>
        <v>基础设施钦州港区管委</v>
      </c>
      <c r="AO109" s="201"/>
      <c r="AP109" s="201"/>
      <c r="AQ109" s="201"/>
      <c r="AR109" s="201"/>
      <c r="AS109" s="157">
        <f>IF(M109&gt;0,1,0)</f>
        <v>0</v>
      </c>
      <c r="AT109" s="157" t="e">
        <f>IF(#REF!&gt;0,1,0)</f>
        <v>#REF!</v>
      </c>
      <c r="AU109" s="157" t="e">
        <f>IF(#REF!&gt;0,1,0)</f>
        <v>#REF!</v>
      </c>
      <c r="AV109" s="157" t="e">
        <f>IF(#REF!&gt;0,1,0)</f>
        <v>#REF!</v>
      </c>
      <c r="AW109" s="157" t="e">
        <f>IF(#REF!&gt;0,1,0)</f>
        <v>#REF!</v>
      </c>
      <c r="AX109" s="181"/>
    </row>
    <row r="110" s="4" customFormat="1" ht="90.75" customHeight="1" spans="1:61">
      <c r="A110" s="23">
        <f>SUBTOTAL(3,C$8:C110)</f>
        <v>103</v>
      </c>
      <c r="B110" s="55" t="s">
        <v>1591</v>
      </c>
      <c r="C110" s="35" t="s">
        <v>810</v>
      </c>
      <c r="D110" s="34" t="s">
        <v>2945</v>
      </c>
      <c r="E110" s="35" t="s">
        <v>832</v>
      </c>
      <c r="F110" s="35">
        <v>4672</v>
      </c>
      <c r="G110" s="245">
        <v>3100</v>
      </c>
      <c r="H110" s="58" t="s">
        <v>2946</v>
      </c>
      <c r="I110" s="264">
        <v>880</v>
      </c>
      <c r="J110" s="36"/>
      <c r="K110" s="58" t="s">
        <v>2947</v>
      </c>
      <c r="L110" s="58" t="s">
        <v>2947</v>
      </c>
      <c r="M110" s="251">
        <v>4.1</v>
      </c>
      <c r="N110" s="251">
        <v>4.1</v>
      </c>
      <c r="O110" s="55" t="s">
        <v>1586</v>
      </c>
      <c r="P110" s="59" t="s">
        <v>2089</v>
      </c>
      <c r="Q110" s="67" t="s">
        <v>185</v>
      </c>
      <c r="R110" s="91" t="s">
        <v>3400</v>
      </c>
      <c r="S110" s="162"/>
      <c r="T110" s="158" t="s">
        <v>2042</v>
      </c>
      <c r="U110" s="161" t="s">
        <v>2061</v>
      </c>
      <c r="V110" s="158" t="str">
        <f t="shared" si="95"/>
        <v>园区基础设施供电工程</v>
      </c>
      <c r="W110" s="158" t="s">
        <v>2018</v>
      </c>
      <c r="X110" s="158"/>
      <c r="Y110" s="161"/>
      <c r="Z110" s="161"/>
      <c r="AA110" s="160"/>
      <c r="AB110" s="157"/>
      <c r="AC110" s="157"/>
      <c r="AD110" s="157"/>
      <c r="AE110" s="157"/>
      <c r="AF110" s="157"/>
      <c r="AG110" s="157"/>
      <c r="AH110" s="157"/>
      <c r="AI110" s="157"/>
      <c r="AJ110" s="7" t="s">
        <v>92</v>
      </c>
      <c r="AK110" s="7" t="s">
        <v>1980</v>
      </c>
      <c r="AL110" s="204" t="str">
        <f t="shared" si="97"/>
        <v>企业中马钦州产业园区管委</v>
      </c>
      <c r="AM110" s="204" t="str">
        <f t="shared" si="98"/>
        <v>基础设施中马钦州产业园区管委</v>
      </c>
      <c r="AN110" s="205" t="e">
        <f>IF(#REF!&gt;0,1,0)</f>
        <v>#REF!</v>
      </c>
      <c r="AO110" s="157" t="e">
        <f>IF(#REF!&lt;1000,"",V110&amp;"1000")</f>
        <v>#REF!</v>
      </c>
      <c r="AP110" s="157" t="e">
        <f>IF(#REF!&lt;2000,"",V110&amp;"2000")</f>
        <v>#REF!</v>
      </c>
      <c r="AQ110" s="157" t="e">
        <f>IF(#REF!&lt;5000,"",V110&amp;"5000")</f>
        <v>#REF!</v>
      </c>
      <c r="AR110" s="157">
        <f>IF(M110&gt;0,1,0)</f>
        <v>1</v>
      </c>
      <c r="AS110" s="157" t="e">
        <f>IF(#REF!&gt;0,1,0)</f>
        <v>#REF!</v>
      </c>
      <c r="AT110" s="157" t="e">
        <f>IF(#REF!&gt;0,1,0)</f>
        <v>#REF!</v>
      </c>
      <c r="AU110" s="157" t="e">
        <f>IF(#REF!&gt;0,1,0)</f>
        <v>#REF!</v>
      </c>
      <c r="AV110" s="157" t="e">
        <f>IF(#REF!&gt;0,1,0)</f>
        <v>#REF!</v>
      </c>
      <c r="AW110" s="181"/>
      <c r="AX110" s="206"/>
      <c r="AY110" s="7"/>
      <c r="AZ110" s="7"/>
      <c r="BA110" s="7"/>
      <c r="BB110" s="7"/>
      <c r="BC110" s="7"/>
      <c r="BD110" s="7"/>
      <c r="BE110" s="7"/>
      <c r="BF110" s="7"/>
      <c r="BG110" s="7"/>
      <c r="BH110" s="7"/>
      <c r="BI110" s="7"/>
    </row>
    <row r="111" s="4" customFormat="1" ht="66" customHeight="1" spans="1:51">
      <c r="A111" s="23">
        <f>SUBTOTAL(3,C$10:C111)</f>
        <v>102</v>
      </c>
      <c r="B111" s="235" t="s">
        <v>3401</v>
      </c>
      <c r="C111" s="236" t="s">
        <v>79</v>
      </c>
      <c r="D111" s="66" t="s">
        <v>3402</v>
      </c>
      <c r="E111" s="35" t="s">
        <v>112</v>
      </c>
      <c r="F111" s="237">
        <v>10000</v>
      </c>
      <c r="G111" s="81" t="s">
        <v>263</v>
      </c>
      <c r="H111" s="112" t="s">
        <v>3403</v>
      </c>
      <c r="I111" s="81"/>
      <c r="J111" s="36">
        <v>1000</v>
      </c>
      <c r="K111" s="112"/>
      <c r="L111" s="112" t="s">
        <v>345</v>
      </c>
      <c r="M111" s="265"/>
      <c r="N111" s="265"/>
      <c r="O111" s="123" t="s">
        <v>3404</v>
      </c>
      <c r="P111" s="67" t="s">
        <v>3405</v>
      </c>
      <c r="Q111" s="67" t="s">
        <v>375</v>
      </c>
      <c r="R111" s="93"/>
      <c r="S111" s="157"/>
      <c r="T111" s="158" t="s">
        <v>376</v>
      </c>
      <c r="U111" s="158" t="s">
        <v>91</v>
      </c>
      <c r="V111" s="158" t="str">
        <f t="shared" ref="V111:V121" si="99">U111&amp;T111</f>
        <v>工业钦北区</v>
      </c>
      <c r="W111" s="158" t="str">
        <f t="shared" ref="W111:W115" si="100">U111</f>
        <v>工业</v>
      </c>
      <c r="X111" s="159"/>
      <c r="Y111" s="160"/>
      <c r="Z111" s="157"/>
      <c r="AA111" s="157"/>
      <c r="AB111" s="157"/>
      <c r="AC111" s="157"/>
      <c r="AD111" s="157"/>
      <c r="AE111" s="273"/>
      <c r="AF111" s="157" t="str">
        <f t="shared" ref="AF111:AF113" si="101">Q111&amp;G111</f>
        <v>钦北区人民政府7月</v>
      </c>
      <c r="AG111" s="157" t="s">
        <v>92</v>
      </c>
      <c r="AH111" s="157" t="s">
        <v>93</v>
      </c>
      <c r="AI111" s="201" t="str">
        <f t="shared" ref="AI111:AI113" si="102">AG111&amp;Q111</f>
        <v>企业钦北区人民政府</v>
      </c>
      <c r="AJ111" s="201" t="str">
        <f t="shared" ref="AJ111:AJ113" si="103">AH111&amp;Q111</f>
        <v>产业钦北区人民政府</v>
      </c>
      <c r="AK111" s="201" t="e">
        <f>IF(#REF!&gt;0,1,0)</f>
        <v>#REF!</v>
      </c>
      <c r="AL111" s="157"/>
      <c r="AM111" s="157" t="e">
        <f>IF(#REF!&gt;0,1,0)</f>
        <v>#REF!</v>
      </c>
      <c r="AN111" s="157" t="e">
        <f>IF(#REF!&gt;0,1,0)</f>
        <v>#REF!</v>
      </c>
      <c r="AO111" s="157" t="e">
        <f>IF(#REF!&gt;0,1,0)</f>
        <v>#REF!</v>
      </c>
      <c r="AP111" s="157" t="e">
        <f>IF(#REF!&gt;0,1,0)</f>
        <v>#REF!</v>
      </c>
      <c r="AQ111" s="157" t="e">
        <f>IF(#REF!&gt;0,1,0)</f>
        <v>#REF!</v>
      </c>
      <c r="AR111" s="273"/>
      <c r="AS111" s="206"/>
      <c r="AU111" s="206"/>
      <c r="AV111" s="225"/>
      <c r="AW111" s="206"/>
      <c r="AX111" s="206"/>
      <c r="AY111" s="206"/>
    </row>
    <row r="112" s="4" customFormat="1" ht="66" customHeight="1" spans="1:51">
      <c r="A112" s="23">
        <f>SUBTOTAL(3,C$10:C112)</f>
        <v>103</v>
      </c>
      <c r="B112" s="235" t="s">
        <v>3406</v>
      </c>
      <c r="C112" s="236" t="s">
        <v>79</v>
      </c>
      <c r="D112" s="235" t="s">
        <v>408</v>
      </c>
      <c r="E112" s="35" t="s">
        <v>112</v>
      </c>
      <c r="F112" s="237">
        <v>10000</v>
      </c>
      <c r="G112" s="81" t="s">
        <v>113</v>
      </c>
      <c r="H112" s="112" t="s">
        <v>3403</v>
      </c>
      <c r="I112" s="81"/>
      <c r="J112" s="36">
        <v>1000</v>
      </c>
      <c r="K112" s="112"/>
      <c r="L112" s="112" t="s">
        <v>345</v>
      </c>
      <c r="M112" s="265"/>
      <c r="N112" s="265"/>
      <c r="O112" s="123" t="s">
        <v>3407</v>
      </c>
      <c r="P112" s="67" t="s">
        <v>3408</v>
      </c>
      <c r="Q112" s="67" t="s">
        <v>375</v>
      </c>
      <c r="R112" s="93"/>
      <c r="S112" s="157"/>
      <c r="T112" s="158" t="s">
        <v>376</v>
      </c>
      <c r="U112" s="158" t="s">
        <v>91</v>
      </c>
      <c r="V112" s="158" t="str">
        <f t="shared" si="99"/>
        <v>工业钦北区</v>
      </c>
      <c r="W112" s="158" t="str">
        <f t="shared" si="100"/>
        <v>工业</v>
      </c>
      <c r="X112" s="159"/>
      <c r="Y112" s="160"/>
      <c r="Z112" s="157"/>
      <c r="AA112" s="157"/>
      <c r="AB112" s="157"/>
      <c r="AC112" s="157"/>
      <c r="AD112" s="157"/>
      <c r="AE112" s="273"/>
      <c r="AF112" s="157" t="str">
        <f t="shared" si="101"/>
        <v>钦北区人民政府9月</v>
      </c>
      <c r="AG112" s="157" t="s">
        <v>92</v>
      </c>
      <c r="AH112" s="157" t="s">
        <v>93</v>
      </c>
      <c r="AI112" s="201" t="str">
        <f t="shared" si="102"/>
        <v>企业钦北区人民政府</v>
      </c>
      <c r="AJ112" s="201" t="str">
        <f t="shared" si="103"/>
        <v>产业钦北区人民政府</v>
      </c>
      <c r="AK112" s="201" t="e">
        <f>IF(#REF!&gt;0,1,0)</f>
        <v>#REF!</v>
      </c>
      <c r="AL112" s="157"/>
      <c r="AM112" s="157" t="e">
        <f>IF(#REF!&gt;0,1,0)</f>
        <v>#REF!</v>
      </c>
      <c r="AN112" s="157" t="e">
        <f>IF(#REF!&gt;0,1,0)</f>
        <v>#REF!</v>
      </c>
      <c r="AO112" s="157" t="e">
        <f>IF(#REF!&gt;0,1,0)</f>
        <v>#REF!</v>
      </c>
      <c r="AP112" s="157" t="e">
        <f>IF(#REF!&gt;0,1,0)</f>
        <v>#REF!</v>
      </c>
      <c r="AQ112" s="157" t="e">
        <f>IF(#REF!&gt;0,1,0)</f>
        <v>#REF!</v>
      </c>
      <c r="AR112" s="273"/>
      <c r="AS112" s="206"/>
      <c r="AU112" s="206"/>
      <c r="AV112" s="225"/>
      <c r="AW112" s="206"/>
      <c r="AX112" s="206"/>
      <c r="AY112" s="206"/>
    </row>
    <row r="113" s="4" customFormat="1" ht="73.5" customHeight="1" spans="1:51">
      <c r="A113" s="23">
        <f>SUBTOTAL(3,C$10:C113)</f>
        <v>104</v>
      </c>
      <c r="B113" s="55" t="s">
        <v>895</v>
      </c>
      <c r="C113" s="23" t="s">
        <v>79</v>
      </c>
      <c r="D113" s="55" t="s">
        <v>896</v>
      </c>
      <c r="E113" s="35" t="s">
        <v>112</v>
      </c>
      <c r="F113" s="36">
        <v>5028</v>
      </c>
      <c r="G113" s="81" t="s">
        <v>195</v>
      </c>
      <c r="H113" s="112" t="s">
        <v>3409</v>
      </c>
      <c r="I113" s="266"/>
      <c r="J113" s="36">
        <v>4000</v>
      </c>
      <c r="K113" s="112"/>
      <c r="L113" s="112" t="s">
        <v>117</v>
      </c>
      <c r="M113" s="134"/>
      <c r="N113" s="134"/>
      <c r="O113" s="55" t="s">
        <v>897</v>
      </c>
      <c r="P113" s="35" t="s">
        <v>2600</v>
      </c>
      <c r="Q113" s="67" t="s">
        <v>375</v>
      </c>
      <c r="R113" s="93"/>
      <c r="S113" s="157"/>
      <c r="T113" s="158" t="s">
        <v>376</v>
      </c>
      <c r="U113" s="158" t="s">
        <v>91</v>
      </c>
      <c r="V113" s="158" t="str">
        <f t="shared" si="99"/>
        <v>工业钦北区</v>
      </c>
      <c r="W113" s="158" t="str">
        <f t="shared" si="100"/>
        <v>工业</v>
      </c>
      <c r="X113" s="159"/>
      <c r="Y113" s="160"/>
      <c r="Z113" s="157"/>
      <c r="AA113" s="157"/>
      <c r="AB113" s="157"/>
      <c r="AC113" s="157"/>
      <c r="AD113" s="157"/>
      <c r="AE113" s="181"/>
      <c r="AF113" s="157" t="str">
        <f t="shared" si="101"/>
        <v>钦北区人民政府3月</v>
      </c>
      <c r="AG113" s="157" t="s">
        <v>92</v>
      </c>
      <c r="AH113" s="157" t="s">
        <v>93</v>
      </c>
      <c r="AI113" s="201" t="str">
        <f t="shared" si="102"/>
        <v>企业钦北区人民政府</v>
      </c>
      <c r="AJ113" s="201" t="str">
        <f t="shared" si="103"/>
        <v>产业钦北区人民政府</v>
      </c>
      <c r="AK113" s="201" t="e">
        <f>IF(#REF!&gt;0,1,0)</f>
        <v>#REF!</v>
      </c>
      <c r="AL113" s="157"/>
      <c r="AM113" s="157" t="e">
        <f>IF(#REF!&gt;0,1,0)</f>
        <v>#REF!</v>
      </c>
      <c r="AN113" s="157" t="e">
        <f>IF(#REF!&gt;0,1,0)</f>
        <v>#REF!</v>
      </c>
      <c r="AO113" s="157" t="e">
        <f>IF(#REF!&gt;0,1,0)</f>
        <v>#REF!</v>
      </c>
      <c r="AP113" s="157" t="e">
        <f>IF(#REF!&gt;0,1,0)</f>
        <v>#REF!</v>
      </c>
      <c r="AQ113" s="157" t="e">
        <f>IF(#REF!&gt;0,1,0)</f>
        <v>#REF!</v>
      </c>
      <c r="AR113" s="181"/>
      <c r="AS113" s="206"/>
      <c r="AT113" s="4" t="s">
        <v>1904</v>
      </c>
      <c r="AU113" s="206"/>
      <c r="AV113" s="225"/>
      <c r="AW113" s="206"/>
      <c r="AX113" s="206"/>
      <c r="AY113" s="206"/>
    </row>
    <row r="114" s="4" customFormat="1" ht="84" customHeight="1" spans="1:63">
      <c r="A114" s="23">
        <f>SUBTOTAL(3,C$7:C114)</f>
        <v>108</v>
      </c>
      <c r="B114" s="246" t="s">
        <v>885</v>
      </c>
      <c r="C114" s="246" t="s">
        <v>562</v>
      </c>
      <c r="D114" s="246" t="s">
        <v>886</v>
      </c>
      <c r="E114" s="23" t="s">
        <v>575</v>
      </c>
      <c r="F114" s="247">
        <v>16000</v>
      </c>
      <c r="G114" s="36">
        <v>12600</v>
      </c>
      <c r="H114" s="112" t="s">
        <v>3410</v>
      </c>
      <c r="I114" s="267"/>
      <c r="J114" s="267"/>
      <c r="K114" s="90" t="s">
        <v>3411</v>
      </c>
      <c r="L114" s="90" t="s">
        <v>117</v>
      </c>
      <c r="M114" s="36"/>
      <c r="N114" s="111"/>
      <c r="O114" s="246" t="s">
        <v>3412</v>
      </c>
      <c r="P114" s="268" t="s">
        <v>2596</v>
      </c>
      <c r="Q114" s="35" t="s">
        <v>375</v>
      </c>
      <c r="R114" s="91"/>
      <c r="S114" s="157"/>
      <c r="T114" s="158" t="s">
        <v>376</v>
      </c>
      <c r="U114" s="158" t="s">
        <v>91</v>
      </c>
      <c r="V114" s="158" t="str">
        <f t="shared" si="99"/>
        <v>工业钦北区</v>
      </c>
      <c r="W114" s="158" t="str">
        <f t="shared" si="100"/>
        <v>工业</v>
      </c>
      <c r="X114" s="158"/>
      <c r="Y114" s="157"/>
      <c r="Z114" s="159"/>
      <c r="AA114" s="160"/>
      <c r="AB114" s="157"/>
      <c r="AC114" s="157"/>
      <c r="AD114" s="157"/>
      <c r="AE114" s="157"/>
      <c r="AF114" s="157"/>
      <c r="AG114" s="157"/>
      <c r="AH114" s="157"/>
      <c r="AI114" s="157"/>
      <c r="AJ114" s="157" t="s">
        <v>92</v>
      </c>
      <c r="AK114" s="203" t="s">
        <v>93</v>
      </c>
      <c r="AL114" s="201" t="str">
        <f t="shared" ref="AL114:AL120" si="104">AJ114&amp;Q114</f>
        <v>企业钦北区人民政府</v>
      </c>
      <c r="AM114" s="201" t="str">
        <f t="shared" ref="AM114:AM120" si="105">AK114&amp;Q114</f>
        <v>产业钦北区人民政府</v>
      </c>
      <c r="AN114" s="204">
        <f t="shared" ref="AN114:AN120" si="106">IF(N114&gt;0,1,0)</f>
        <v>0</v>
      </c>
      <c r="AO114" s="157" t="str">
        <f t="shared" ref="AO114:AO120" si="107">IF(L114&lt;1000,"",V114&amp;"1000")</f>
        <v>工业钦北区1000</v>
      </c>
      <c r="AP114" s="157" t="str">
        <f t="shared" ref="AP114:AP120" si="108">IF(L114&lt;2000,"",V114&amp;"2000")</f>
        <v>工业钦北区2000</v>
      </c>
      <c r="AQ114" s="157" t="str">
        <f t="shared" ref="AQ114:AQ120" si="109">IF(L114&lt;5000,"",V114&amp;"5000")</f>
        <v>工业钦北区5000</v>
      </c>
      <c r="AR114" s="157"/>
      <c r="AS114" s="157" t="e">
        <f>IF(#REF!&gt;0,1,0)</f>
        <v>#REF!</v>
      </c>
      <c r="AT114" s="157" t="e">
        <f>IF(#REF!&gt;0,1,0)</f>
        <v>#REF!</v>
      </c>
      <c r="AU114" s="157" t="e">
        <f>IF(#REF!&gt;0,1,0)</f>
        <v>#REF!</v>
      </c>
      <c r="AV114" s="157" t="e">
        <f>IF(#REF!&gt;0,1,0)</f>
        <v>#REF!</v>
      </c>
      <c r="AW114" s="157" t="e">
        <f>IF(#REF!&gt;0,1,0)</f>
        <v>#REF!</v>
      </c>
      <c r="AX114" s="181"/>
      <c r="AY114" s="206"/>
      <c r="AZ114" s="7"/>
      <c r="BA114" s="206"/>
      <c r="BB114" s="225"/>
      <c r="BC114" s="206"/>
      <c r="BD114" s="206"/>
      <c r="BE114" s="206"/>
      <c r="BF114" s="7"/>
      <c r="BG114" s="7"/>
      <c r="BH114" s="7"/>
      <c r="BI114" s="7"/>
      <c r="BJ114" s="7"/>
      <c r="BK114" s="7"/>
    </row>
    <row r="115" s="4" customFormat="1" ht="64.9" customHeight="1" spans="1:63">
      <c r="A115" s="23">
        <f>SUBTOTAL(3,C$7:C115)</f>
        <v>109</v>
      </c>
      <c r="B115" s="248" t="s">
        <v>889</v>
      </c>
      <c r="C115" s="246" t="s">
        <v>562</v>
      </c>
      <c r="D115" s="88" t="s">
        <v>890</v>
      </c>
      <c r="E115" s="23" t="s">
        <v>575</v>
      </c>
      <c r="F115" s="247">
        <v>11000</v>
      </c>
      <c r="G115" s="36">
        <v>6600</v>
      </c>
      <c r="H115" s="112" t="s">
        <v>3413</v>
      </c>
      <c r="I115" s="267"/>
      <c r="J115" s="267"/>
      <c r="K115" s="90" t="s">
        <v>3414</v>
      </c>
      <c r="L115" s="90" t="s">
        <v>117</v>
      </c>
      <c r="M115" s="36"/>
      <c r="N115" s="111"/>
      <c r="O115" s="55" t="s">
        <v>891</v>
      </c>
      <c r="P115" s="35" t="s">
        <v>2597</v>
      </c>
      <c r="Q115" s="35" t="s">
        <v>375</v>
      </c>
      <c r="R115" s="91"/>
      <c r="S115" s="157"/>
      <c r="T115" s="158" t="s">
        <v>376</v>
      </c>
      <c r="U115" s="158" t="s">
        <v>91</v>
      </c>
      <c r="V115" s="158" t="str">
        <f t="shared" si="99"/>
        <v>工业钦北区</v>
      </c>
      <c r="W115" s="158" t="str">
        <f t="shared" si="100"/>
        <v>工业</v>
      </c>
      <c r="X115" s="158"/>
      <c r="Y115" s="161"/>
      <c r="Z115" s="161"/>
      <c r="AA115" s="160"/>
      <c r="AB115" s="157"/>
      <c r="AC115" s="157"/>
      <c r="AD115" s="157"/>
      <c r="AE115" s="157"/>
      <c r="AF115" s="157"/>
      <c r="AG115" s="157"/>
      <c r="AH115" s="157"/>
      <c r="AI115" s="157"/>
      <c r="AJ115" s="157" t="s">
        <v>92</v>
      </c>
      <c r="AK115" s="203" t="s">
        <v>93</v>
      </c>
      <c r="AL115" s="201" t="str">
        <f t="shared" si="104"/>
        <v>企业钦北区人民政府</v>
      </c>
      <c r="AM115" s="201" t="str">
        <f t="shared" si="105"/>
        <v>产业钦北区人民政府</v>
      </c>
      <c r="AN115" s="204">
        <f t="shared" si="106"/>
        <v>0</v>
      </c>
      <c r="AO115" s="157" t="str">
        <f t="shared" si="107"/>
        <v>工业钦北区1000</v>
      </c>
      <c r="AP115" s="157" t="str">
        <f t="shared" si="108"/>
        <v>工业钦北区2000</v>
      </c>
      <c r="AQ115" s="157" t="str">
        <f t="shared" si="109"/>
        <v>工业钦北区5000</v>
      </c>
      <c r="AR115" s="157"/>
      <c r="AS115" s="157" t="e">
        <f>IF(#REF!&gt;0,1,0)</f>
        <v>#REF!</v>
      </c>
      <c r="AT115" s="157" t="e">
        <f>IF(#REF!&gt;0,1,0)</f>
        <v>#REF!</v>
      </c>
      <c r="AU115" s="157" t="e">
        <f>IF(#REF!&gt;0,1,0)</f>
        <v>#REF!</v>
      </c>
      <c r="AV115" s="157" t="e">
        <f>IF(#REF!&gt;0,1,0)</f>
        <v>#REF!</v>
      </c>
      <c r="AW115" s="157" t="e">
        <f>IF(#REF!&gt;0,1,0)</f>
        <v>#REF!</v>
      </c>
      <c r="AX115" s="181"/>
      <c r="AY115" s="206"/>
      <c r="AZ115" s="7"/>
      <c r="BA115" s="206"/>
      <c r="BB115" s="225"/>
      <c r="BC115" s="206"/>
      <c r="BD115" s="206"/>
      <c r="BE115" s="206"/>
      <c r="BF115" s="7"/>
      <c r="BG115" s="7"/>
      <c r="BH115" s="7"/>
      <c r="BI115" s="7"/>
      <c r="BJ115" s="7"/>
      <c r="BK115" s="7"/>
    </row>
    <row r="116" s="4" customFormat="1" ht="75" customHeight="1" spans="1:57">
      <c r="A116" s="23">
        <f>SUBTOTAL(3,C$7:C116)</f>
        <v>110</v>
      </c>
      <c r="B116" s="58" t="s">
        <v>1383</v>
      </c>
      <c r="C116" s="35" t="s">
        <v>562</v>
      </c>
      <c r="D116" s="60" t="s">
        <v>1384</v>
      </c>
      <c r="E116" s="23" t="s">
        <v>588</v>
      </c>
      <c r="F116" s="67">
        <v>6300</v>
      </c>
      <c r="G116" s="67">
        <v>6300</v>
      </c>
      <c r="H116" s="54" t="s">
        <v>3264</v>
      </c>
      <c r="I116" s="123"/>
      <c r="J116" s="123"/>
      <c r="K116" s="90"/>
      <c r="L116" s="112" t="s">
        <v>117</v>
      </c>
      <c r="M116" s="36"/>
      <c r="N116" s="50"/>
      <c r="O116" s="54" t="s">
        <v>807</v>
      </c>
      <c r="P116" s="67" t="s">
        <v>2442</v>
      </c>
      <c r="Q116" s="35" t="s">
        <v>375</v>
      </c>
      <c r="R116" s="91"/>
      <c r="S116" s="157"/>
      <c r="T116" s="158" t="s">
        <v>2039</v>
      </c>
      <c r="U116" s="158" t="s">
        <v>2061</v>
      </c>
      <c r="V116" s="158" t="str">
        <f t="shared" si="99"/>
        <v>园区基础设施供水工程</v>
      </c>
      <c r="W116" s="158" t="s">
        <v>2018</v>
      </c>
      <c r="X116" s="158"/>
      <c r="Y116" s="157"/>
      <c r="Z116" s="159"/>
      <c r="AA116" s="160"/>
      <c r="AB116" s="157"/>
      <c r="AC116" s="157"/>
      <c r="AD116" s="157"/>
      <c r="AE116" s="157"/>
      <c r="AF116" s="157"/>
      <c r="AG116" s="157"/>
      <c r="AH116" s="157"/>
      <c r="AI116" s="157"/>
      <c r="AJ116" s="201" t="s">
        <v>205</v>
      </c>
      <c r="AK116" s="203" t="s">
        <v>1980</v>
      </c>
      <c r="AL116" s="201" t="str">
        <f t="shared" si="104"/>
        <v>政府钦北区人民政府</v>
      </c>
      <c r="AM116" s="201" t="str">
        <f t="shared" si="105"/>
        <v>基础设施钦北区人民政府</v>
      </c>
      <c r="AN116" s="204">
        <f t="shared" si="106"/>
        <v>0</v>
      </c>
      <c r="AO116" s="157" t="str">
        <f t="shared" si="107"/>
        <v>园区基础设施供水工程1000</v>
      </c>
      <c r="AP116" s="157" t="str">
        <f t="shared" si="108"/>
        <v>园区基础设施供水工程2000</v>
      </c>
      <c r="AQ116" s="157" t="str">
        <f t="shared" si="109"/>
        <v>园区基础设施供水工程5000</v>
      </c>
      <c r="AR116" s="157"/>
      <c r="AS116" s="157" t="e">
        <f>IF(#REF!&gt;0,1,0)</f>
        <v>#REF!</v>
      </c>
      <c r="AT116" s="157" t="e">
        <f>IF(#REF!&gt;0,1,0)</f>
        <v>#REF!</v>
      </c>
      <c r="AU116" s="157" t="e">
        <f>IF(#REF!&gt;0,1,0)</f>
        <v>#REF!</v>
      </c>
      <c r="AV116" s="157" t="e">
        <f>IF(#REF!&gt;0,1,0)</f>
        <v>#REF!</v>
      </c>
      <c r="AW116" s="157" t="e">
        <f>IF(#REF!&gt;0,1,0)</f>
        <v>#REF!</v>
      </c>
      <c r="AX116" s="273"/>
      <c r="AY116" s="206"/>
      <c r="AZ116" s="7"/>
      <c r="BA116" s="206"/>
      <c r="BB116" s="225"/>
      <c r="BC116" s="206"/>
      <c r="BD116" s="206"/>
      <c r="BE116" s="206"/>
    </row>
    <row r="117" s="9" customFormat="1" ht="77.25" customHeight="1" spans="1:57">
      <c r="A117" s="23">
        <f>SUBTOTAL(3,C$7:C117)</f>
        <v>111</v>
      </c>
      <c r="B117" s="235" t="s">
        <v>3415</v>
      </c>
      <c r="C117" s="23" t="s">
        <v>562</v>
      </c>
      <c r="D117" s="24" t="s">
        <v>3416</v>
      </c>
      <c r="E117" s="23" t="s">
        <v>3417</v>
      </c>
      <c r="F117" s="67">
        <v>30000</v>
      </c>
      <c r="G117" s="67">
        <v>1000</v>
      </c>
      <c r="H117" s="54" t="s">
        <v>3418</v>
      </c>
      <c r="I117" s="254"/>
      <c r="J117" s="254"/>
      <c r="K117" s="90"/>
      <c r="L117" s="90" t="s">
        <v>117</v>
      </c>
      <c r="M117" s="36"/>
      <c r="N117" s="36"/>
      <c r="O117" s="24" t="s">
        <v>3419</v>
      </c>
      <c r="P117" s="67" t="s">
        <v>3420</v>
      </c>
      <c r="Q117" s="35" t="s">
        <v>375</v>
      </c>
      <c r="R117" s="91"/>
      <c r="S117" s="157"/>
      <c r="T117" s="158" t="s">
        <v>722</v>
      </c>
      <c r="U117" s="158" t="s">
        <v>2105</v>
      </c>
      <c r="V117" s="158" t="str">
        <f t="shared" si="99"/>
        <v>农林水农业</v>
      </c>
      <c r="W117" s="158" t="str">
        <f t="shared" ref="W117:W119" si="110">T117</f>
        <v>农业</v>
      </c>
      <c r="X117" s="158"/>
      <c r="Y117" s="157"/>
      <c r="Z117" s="272"/>
      <c r="AA117" s="160"/>
      <c r="AB117" s="157"/>
      <c r="AC117" s="157"/>
      <c r="AD117" s="157"/>
      <c r="AE117" s="157"/>
      <c r="AF117" s="157"/>
      <c r="AG117" s="157"/>
      <c r="AH117" s="157"/>
      <c r="AI117" s="157"/>
      <c r="AJ117" s="157" t="s">
        <v>92</v>
      </c>
      <c r="AK117" s="203" t="s">
        <v>93</v>
      </c>
      <c r="AL117" s="201" t="str">
        <f t="shared" si="104"/>
        <v>企业钦北区人民政府</v>
      </c>
      <c r="AM117" s="201" t="str">
        <f t="shared" si="105"/>
        <v>产业钦北区人民政府</v>
      </c>
      <c r="AN117" s="204">
        <f t="shared" si="106"/>
        <v>0</v>
      </c>
      <c r="AO117" s="157" t="str">
        <f t="shared" si="107"/>
        <v>农林水农业1000</v>
      </c>
      <c r="AP117" s="157" t="str">
        <f t="shared" si="108"/>
        <v>农林水农业2000</v>
      </c>
      <c r="AQ117" s="157" t="str">
        <f t="shared" si="109"/>
        <v>农林水农业5000</v>
      </c>
      <c r="AR117" s="157"/>
      <c r="AS117" s="157" t="e">
        <f>IF(#REF!&gt;0,1,0)</f>
        <v>#REF!</v>
      </c>
      <c r="AT117" s="157" t="e">
        <f>IF(#REF!&gt;0,1,0)</f>
        <v>#REF!</v>
      </c>
      <c r="AU117" s="157" t="e">
        <f>IF(#REF!&gt;0,1,0)</f>
        <v>#REF!</v>
      </c>
      <c r="AV117" s="157" t="e">
        <f>IF(#REF!&gt;0,1,0)</f>
        <v>#REF!</v>
      </c>
      <c r="AW117" s="157" t="e">
        <f>IF(#REF!&gt;0,1,0)</f>
        <v>#REF!</v>
      </c>
      <c r="AX117" s="181"/>
      <c r="AY117" s="206"/>
      <c r="BA117" s="206"/>
      <c r="BB117" s="206"/>
      <c r="BC117" s="206"/>
      <c r="BD117" s="206"/>
      <c r="BE117" s="206"/>
    </row>
    <row r="118" s="9" customFormat="1" ht="77.25" customHeight="1" spans="1:57">
      <c r="A118" s="23">
        <f>SUBTOTAL(3,C$7:C118)</f>
        <v>112</v>
      </c>
      <c r="B118" s="60" t="s">
        <v>3421</v>
      </c>
      <c r="C118" s="23" t="s">
        <v>562</v>
      </c>
      <c r="D118" s="60" t="s">
        <v>3422</v>
      </c>
      <c r="E118" s="23" t="s">
        <v>627</v>
      </c>
      <c r="F118" s="67">
        <v>13596</v>
      </c>
      <c r="G118" s="67">
        <v>3000</v>
      </c>
      <c r="H118" s="123" t="s">
        <v>3423</v>
      </c>
      <c r="I118" s="254"/>
      <c r="J118" s="254"/>
      <c r="K118" s="90" t="s">
        <v>3424</v>
      </c>
      <c r="L118" s="90" t="s">
        <v>117</v>
      </c>
      <c r="M118" s="36"/>
      <c r="N118" s="111"/>
      <c r="O118" s="54" t="s">
        <v>3425</v>
      </c>
      <c r="P118" s="67" t="s">
        <v>3426</v>
      </c>
      <c r="Q118" s="35" t="s">
        <v>375</v>
      </c>
      <c r="R118" s="91"/>
      <c r="S118" s="157"/>
      <c r="T118" s="158" t="s">
        <v>722</v>
      </c>
      <c r="U118" s="158" t="s">
        <v>2105</v>
      </c>
      <c r="V118" s="158" t="str">
        <f t="shared" si="99"/>
        <v>农林水农业</v>
      </c>
      <c r="W118" s="158" t="str">
        <f t="shared" si="110"/>
        <v>农业</v>
      </c>
      <c r="X118" s="158"/>
      <c r="Y118" s="157"/>
      <c r="Z118" s="272"/>
      <c r="AA118" s="160"/>
      <c r="AB118" s="157"/>
      <c r="AC118" s="157"/>
      <c r="AD118" s="157"/>
      <c r="AE118" s="157"/>
      <c r="AF118" s="157"/>
      <c r="AG118" s="157"/>
      <c r="AH118" s="157"/>
      <c r="AI118" s="157"/>
      <c r="AJ118" s="157" t="s">
        <v>205</v>
      </c>
      <c r="AK118" s="203" t="s">
        <v>93</v>
      </c>
      <c r="AL118" s="201" t="str">
        <f t="shared" si="104"/>
        <v>政府钦北区人民政府</v>
      </c>
      <c r="AM118" s="201" t="str">
        <f t="shared" si="105"/>
        <v>产业钦北区人民政府</v>
      </c>
      <c r="AN118" s="204">
        <f t="shared" si="106"/>
        <v>0</v>
      </c>
      <c r="AO118" s="157" t="str">
        <f t="shared" si="107"/>
        <v>农林水农业1000</v>
      </c>
      <c r="AP118" s="157" t="str">
        <f t="shared" si="108"/>
        <v>农林水农业2000</v>
      </c>
      <c r="AQ118" s="157" t="str">
        <f t="shared" si="109"/>
        <v>农林水农业5000</v>
      </c>
      <c r="AR118" s="157"/>
      <c r="AS118" s="157" t="e">
        <f>IF(#REF!&gt;0,1,0)</f>
        <v>#REF!</v>
      </c>
      <c r="AT118" s="157" t="e">
        <f>IF(#REF!&gt;0,1,0)</f>
        <v>#REF!</v>
      </c>
      <c r="AU118" s="157" t="e">
        <f>IF(#REF!&gt;0,1,0)</f>
        <v>#REF!</v>
      </c>
      <c r="AV118" s="157" t="e">
        <f>IF(#REF!&gt;0,1,0)</f>
        <v>#REF!</v>
      </c>
      <c r="AW118" s="157" t="e">
        <f>IF(#REF!&gt;0,1,0)</f>
        <v>#REF!</v>
      </c>
      <c r="AX118" s="181"/>
      <c r="AY118" s="206"/>
      <c r="BA118" s="206"/>
      <c r="BB118" s="206"/>
      <c r="BC118" s="206"/>
      <c r="BD118" s="206"/>
      <c r="BE118" s="206"/>
    </row>
    <row r="119" s="7" customFormat="1" ht="77.25" customHeight="1" spans="1:57">
      <c r="A119" s="23">
        <f>SUBTOTAL(3,C$7:C119)</f>
        <v>113</v>
      </c>
      <c r="B119" s="58" t="s">
        <v>1570</v>
      </c>
      <c r="C119" s="23" t="s">
        <v>562</v>
      </c>
      <c r="D119" s="55" t="s">
        <v>3427</v>
      </c>
      <c r="E119" s="23" t="s">
        <v>812</v>
      </c>
      <c r="F119" s="67">
        <v>3000</v>
      </c>
      <c r="G119" s="67">
        <v>500</v>
      </c>
      <c r="H119" s="54" t="s">
        <v>3428</v>
      </c>
      <c r="I119" s="123"/>
      <c r="J119" s="123"/>
      <c r="K119" s="90"/>
      <c r="L119" s="90" t="s">
        <v>117</v>
      </c>
      <c r="M119" s="36"/>
      <c r="N119" s="111"/>
      <c r="O119" s="123" t="s">
        <v>807</v>
      </c>
      <c r="P119" s="35" t="s">
        <v>2542</v>
      </c>
      <c r="Q119" s="35" t="s">
        <v>375</v>
      </c>
      <c r="R119" s="91"/>
      <c r="S119" s="157"/>
      <c r="T119" s="158" t="s">
        <v>722</v>
      </c>
      <c r="U119" s="158" t="s">
        <v>2105</v>
      </c>
      <c r="V119" s="158" t="str">
        <f t="shared" si="99"/>
        <v>农林水农业</v>
      </c>
      <c r="W119" s="158" t="str">
        <f t="shared" si="110"/>
        <v>农业</v>
      </c>
      <c r="X119" s="158"/>
      <c r="Y119" s="157"/>
      <c r="Z119" s="272"/>
      <c r="AA119" s="160"/>
      <c r="AB119" s="157"/>
      <c r="AC119" s="157"/>
      <c r="AD119" s="157"/>
      <c r="AE119" s="157"/>
      <c r="AF119" s="157"/>
      <c r="AG119" s="157"/>
      <c r="AH119" s="157"/>
      <c r="AI119" s="157"/>
      <c r="AJ119" s="157" t="s">
        <v>205</v>
      </c>
      <c r="AK119" s="203" t="s">
        <v>93</v>
      </c>
      <c r="AL119" s="201" t="str">
        <f t="shared" si="104"/>
        <v>政府钦北区人民政府</v>
      </c>
      <c r="AM119" s="201" t="str">
        <f t="shared" si="105"/>
        <v>产业钦北区人民政府</v>
      </c>
      <c r="AN119" s="204">
        <f t="shared" si="106"/>
        <v>0</v>
      </c>
      <c r="AO119" s="157" t="str">
        <f t="shared" si="107"/>
        <v>农林水农业1000</v>
      </c>
      <c r="AP119" s="157" t="str">
        <f t="shared" si="108"/>
        <v>农林水农业2000</v>
      </c>
      <c r="AQ119" s="157" t="str">
        <f t="shared" si="109"/>
        <v>农林水农业5000</v>
      </c>
      <c r="AR119" s="157"/>
      <c r="AS119" s="157" t="e">
        <f>IF(#REF!&gt;0,1,0)</f>
        <v>#REF!</v>
      </c>
      <c r="AT119" s="157" t="e">
        <f>IF(#REF!&gt;0,1,0)</f>
        <v>#REF!</v>
      </c>
      <c r="AU119" s="157" t="e">
        <f>IF(#REF!&gt;0,1,0)</f>
        <v>#REF!</v>
      </c>
      <c r="AV119" s="157" t="e">
        <f>IF(#REF!&gt;0,1,0)</f>
        <v>#REF!</v>
      </c>
      <c r="AW119" s="157" t="e">
        <f>IF(#REF!&gt;0,1,0)</f>
        <v>#REF!</v>
      </c>
      <c r="AX119" s="181"/>
      <c r="AY119" s="206"/>
      <c r="BA119" s="206"/>
      <c r="BB119" s="206"/>
      <c r="BC119" s="206"/>
      <c r="BD119" s="206"/>
      <c r="BE119" s="206"/>
    </row>
    <row r="120" s="4" customFormat="1" ht="81.75" customHeight="1" spans="1:57">
      <c r="A120" s="23">
        <f>SUBTOTAL(3,C$7:C120)</f>
        <v>114</v>
      </c>
      <c r="B120" s="55" t="s">
        <v>3429</v>
      </c>
      <c r="C120" s="35" t="s">
        <v>562</v>
      </c>
      <c r="D120" s="60" t="s">
        <v>3430</v>
      </c>
      <c r="E120" s="35" t="s">
        <v>564</v>
      </c>
      <c r="F120" s="67">
        <v>30000</v>
      </c>
      <c r="G120" s="67">
        <v>4122</v>
      </c>
      <c r="H120" s="34" t="s">
        <v>3431</v>
      </c>
      <c r="I120" s="269"/>
      <c r="J120" s="269"/>
      <c r="K120" s="54" t="s">
        <v>3432</v>
      </c>
      <c r="L120" s="54" t="s">
        <v>3433</v>
      </c>
      <c r="M120" s="36"/>
      <c r="N120" s="36"/>
      <c r="O120" s="55" t="s">
        <v>3434</v>
      </c>
      <c r="P120" s="35" t="s">
        <v>3435</v>
      </c>
      <c r="Q120" s="35" t="s">
        <v>375</v>
      </c>
      <c r="R120" s="91"/>
      <c r="S120" s="157"/>
      <c r="T120" s="158" t="s">
        <v>2121</v>
      </c>
      <c r="U120" s="158" t="s">
        <v>459</v>
      </c>
      <c r="V120" s="158" t="str">
        <f t="shared" si="99"/>
        <v>服务业旅游</v>
      </c>
      <c r="W120" s="158" t="s">
        <v>2051</v>
      </c>
      <c r="X120" s="158"/>
      <c r="Y120" s="157"/>
      <c r="Z120" s="159"/>
      <c r="AA120" s="160"/>
      <c r="AB120" s="157"/>
      <c r="AC120" s="157"/>
      <c r="AD120" s="157"/>
      <c r="AE120" s="157"/>
      <c r="AF120" s="157"/>
      <c r="AG120" s="157"/>
      <c r="AH120" s="157"/>
      <c r="AI120" s="157"/>
      <c r="AJ120" s="157" t="s">
        <v>92</v>
      </c>
      <c r="AK120" s="203" t="s">
        <v>93</v>
      </c>
      <c r="AL120" s="201" t="str">
        <f t="shared" si="104"/>
        <v>企业钦北区人民政府</v>
      </c>
      <c r="AM120" s="201" t="str">
        <f t="shared" si="105"/>
        <v>产业钦北区人民政府</v>
      </c>
      <c r="AN120" s="204">
        <f t="shared" si="106"/>
        <v>0</v>
      </c>
      <c r="AO120" s="157" t="str">
        <f t="shared" si="107"/>
        <v>服务业旅游1000</v>
      </c>
      <c r="AP120" s="157" t="str">
        <f t="shared" si="108"/>
        <v>服务业旅游2000</v>
      </c>
      <c r="AQ120" s="157" t="str">
        <f t="shared" si="109"/>
        <v>服务业旅游5000</v>
      </c>
      <c r="AR120" s="157"/>
      <c r="AS120" s="157" t="e">
        <f>IF(#REF!&gt;0,1,0)</f>
        <v>#REF!</v>
      </c>
      <c r="AT120" s="157" t="e">
        <f>IF(#REF!&gt;0,1,0)</f>
        <v>#REF!</v>
      </c>
      <c r="AU120" s="157" t="e">
        <f>IF(#REF!&gt;0,1,0)</f>
        <v>#REF!</v>
      </c>
      <c r="AV120" s="157" t="e">
        <f>IF(#REF!&gt;0,1,0)</f>
        <v>#REF!</v>
      </c>
      <c r="AW120" s="157" t="e">
        <f>IF(#REF!&gt;0,1,0)</f>
        <v>#REF!</v>
      </c>
      <c r="AX120" s="181"/>
      <c r="AY120" s="206"/>
      <c r="AZ120" s="7"/>
      <c r="BA120" s="206"/>
      <c r="BB120" s="206"/>
      <c r="BC120" s="206"/>
      <c r="BD120" s="206"/>
      <c r="BE120" s="206"/>
    </row>
    <row r="121" s="4" customFormat="1" ht="54" customHeight="1" spans="1:50">
      <c r="A121" s="23">
        <f>SUBTOTAL(3,C$10:C121)</f>
        <v>112</v>
      </c>
      <c r="B121" s="60" t="s">
        <v>3436</v>
      </c>
      <c r="C121" s="35" t="s">
        <v>79</v>
      </c>
      <c r="D121" s="88" t="s">
        <v>3437</v>
      </c>
      <c r="E121" s="23" t="s">
        <v>81</v>
      </c>
      <c r="F121" s="67">
        <v>35700</v>
      </c>
      <c r="G121" s="67"/>
      <c r="H121" s="81" t="s">
        <v>82</v>
      </c>
      <c r="I121" s="81"/>
      <c r="J121" s="81"/>
      <c r="K121" s="90" t="s">
        <v>3438</v>
      </c>
      <c r="L121" s="112" t="s">
        <v>3439</v>
      </c>
      <c r="M121" s="132">
        <v>144.9</v>
      </c>
      <c r="N121" s="132"/>
      <c r="O121" s="54" t="s">
        <v>2768</v>
      </c>
      <c r="P121" s="67" t="s">
        <v>3440</v>
      </c>
      <c r="Q121" s="67" t="s">
        <v>2768</v>
      </c>
      <c r="R121" s="93" t="s">
        <v>3306</v>
      </c>
      <c r="S121" s="157"/>
      <c r="T121" s="158" t="s">
        <v>2051</v>
      </c>
      <c r="U121" s="158" t="s">
        <v>2017</v>
      </c>
      <c r="V121" s="158" t="str">
        <f t="shared" si="99"/>
        <v>城市基础设施其他</v>
      </c>
      <c r="W121" s="158" t="s">
        <v>2018</v>
      </c>
      <c r="X121" s="159"/>
      <c r="Y121" s="160"/>
      <c r="Z121" s="157"/>
      <c r="AA121" s="157"/>
      <c r="AB121" s="157"/>
      <c r="AC121" s="157"/>
      <c r="AD121" s="157"/>
      <c r="AE121" s="157"/>
      <c r="AF121" s="157"/>
      <c r="AG121" s="157"/>
      <c r="AH121" s="157"/>
      <c r="AI121" s="157"/>
      <c r="AJ121" s="181"/>
      <c r="AK121" s="157" t="str">
        <f>Q121&amp;H121</f>
        <v>市人防海防办10月</v>
      </c>
      <c r="AL121" s="157" t="s">
        <v>205</v>
      </c>
      <c r="AM121" s="157" t="s">
        <v>1980</v>
      </c>
      <c r="AN121" s="201" t="str">
        <f>AL121&amp;Q121</f>
        <v>政府市人防海防办</v>
      </c>
      <c r="AO121" s="201" t="str">
        <f>AM121&amp;Q121</f>
        <v>基础设施市人防海防办</v>
      </c>
      <c r="AP121" s="201"/>
      <c r="AQ121" s="157"/>
      <c r="AR121" s="157">
        <f>IF(M121&gt;0,1,0)</f>
        <v>1</v>
      </c>
      <c r="AS121" s="157" t="e">
        <f>IF(#REF!&gt;0,1,0)</f>
        <v>#REF!</v>
      </c>
      <c r="AT121" s="157" t="e">
        <f>IF(#REF!&gt;0,1,0)</f>
        <v>#REF!</v>
      </c>
      <c r="AU121" s="157" t="e">
        <f>IF(#REF!&gt;0,1,0)</f>
        <v>#REF!</v>
      </c>
      <c r="AV121" s="157" t="e">
        <f>IF(#REF!&gt;0,1,0)</f>
        <v>#REF!</v>
      </c>
      <c r="AW121" s="181"/>
      <c r="AX121" s="206"/>
    </row>
  </sheetData>
  <mergeCells count="41">
    <mergeCell ref="A1:R1"/>
    <mergeCell ref="A2:B2"/>
    <mergeCell ref="O2:Q2"/>
    <mergeCell ref="G3:H3"/>
    <mergeCell ref="I3:J3"/>
    <mergeCell ref="AA3:AC3"/>
    <mergeCell ref="A3:A4"/>
    <mergeCell ref="B3:B4"/>
    <mergeCell ref="C3:C4"/>
    <mergeCell ref="D3:D4"/>
    <mergeCell ref="E3:E4"/>
    <mergeCell ref="F3:F4"/>
    <mergeCell ref="K3:K4"/>
    <mergeCell ref="L3:L4"/>
    <mergeCell ref="M3:M4"/>
    <mergeCell ref="N3:N4"/>
    <mergeCell ref="O3:O4"/>
    <mergeCell ref="P3:P4"/>
    <mergeCell ref="Q3:Q4"/>
    <mergeCell ref="R3:R4"/>
    <mergeCell ref="S3:S4"/>
    <mergeCell ref="T3:T4"/>
    <mergeCell ref="U3:U4"/>
    <mergeCell ref="V3:V4"/>
    <mergeCell ref="W3:W4"/>
    <mergeCell ref="X3:X4"/>
    <mergeCell ref="Y3:Y4"/>
    <mergeCell ref="Z3:Z4"/>
    <mergeCell ref="AD3:AD4"/>
    <mergeCell ref="AE3:AE4"/>
    <mergeCell ref="AF3:AF4"/>
    <mergeCell ref="AG3:AG4"/>
    <mergeCell ref="AH3:AH4"/>
    <mergeCell ref="AI3:AI4"/>
    <mergeCell ref="AJ3:AJ4"/>
    <mergeCell ref="AK3:AK4"/>
    <mergeCell ref="AL3:AL4"/>
    <mergeCell ref="AM3:AM4"/>
    <mergeCell ref="AN3:AN4"/>
    <mergeCell ref="AO3:AO4"/>
    <mergeCell ref="AP3:AP4"/>
  </mergeCells>
  <pageMargins left="0.698611111111111" right="0.698611111111111" top="0.75" bottom="0.75" header="0.3" footer="0.3"/>
  <pageSetup paperSize="9" firstPageNumber="4294963191" orientation="portrait" useFirstPageNumber="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BN221"/>
  <sheetViews>
    <sheetView zoomScale="70" zoomScaleNormal="70" workbookViewId="0">
      <pane xSplit="2" ySplit="5" topLeftCell="C6" activePane="bottomRight" state="frozen"/>
      <selection/>
      <selection pane="topRight"/>
      <selection pane="bottomLeft"/>
      <selection pane="bottomRight" activeCell="AT1" sqref="AT$1:AT$1048576"/>
    </sheetView>
  </sheetViews>
  <sheetFormatPr defaultColWidth="9.14285714285714" defaultRowHeight="12"/>
  <cols>
    <col min="1" max="1" width="9" style="4" customWidth="1"/>
    <col min="2" max="2" width="20.7142857142857" style="4" customWidth="1"/>
    <col min="3" max="3" width="6.71428571428571" style="4" customWidth="1"/>
    <col min="4" max="4" width="30.7142857142857" style="4" customWidth="1"/>
    <col min="5" max="5" width="8.71428571428571" style="4" customWidth="1"/>
    <col min="6" max="6" width="12.7142857142857" style="4" customWidth="1"/>
    <col min="7" max="7" width="10.8571428571429" style="4" customWidth="1"/>
    <col min="8" max="12" width="10.7142857142857" style="4" customWidth="1"/>
    <col min="13" max="13" width="9.14285714285714" style="4" hidden="1" customWidth="1"/>
    <col min="14" max="14" width="22.7142857142857" style="4" customWidth="1"/>
    <col min="15" max="25" width="9.14285714285714" style="4" hidden="1" customWidth="1"/>
    <col min="26" max="26" width="9" style="4" hidden="1" customWidth="1"/>
    <col min="27" max="27" width="8.71428571428571" style="4" hidden="1" customWidth="1"/>
    <col min="28" max="28" width="9.14285714285714" style="4" hidden="1" customWidth="1"/>
    <col min="29" max="29" width="8.57142857142857" style="4" hidden="1" customWidth="1"/>
    <col min="30" max="30" width="9" style="4" hidden="1" customWidth="1"/>
    <col min="31" max="31" width="8" style="4" hidden="1" customWidth="1"/>
    <col min="32" max="32" width="8.42857142857143" style="4" hidden="1" customWidth="1"/>
    <col min="33" max="33" width="9" style="4" hidden="1" customWidth="1"/>
    <col min="34" max="34" width="7.57142857142857" style="4" hidden="1" customWidth="1"/>
    <col min="35" max="35" width="8.85714285714286" style="4" hidden="1" customWidth="1"/>
    <col min="36" max="36" width="9.14285714285714" style="4" hidden="1" customWidth="1"/>
    <col min="37" max="37" width="8.42857142857143" style="4" hidden="1" customWidth="1"/>
    <col min="38" max="38" width="9" style="4" hidden="1" customWidth="1"/>
    <col min="39" max="39" width="8.71428571428571" style="4" hidden="1" customWidth="1"/>
    <col min="40" max="40" width="7.57142857142857" style="4" hidden="1" customWidth="1"/>
    <col min="41" max="41" width="10.7142857142857" style="4" hidden="1" customWidth="1"/>
    <col min="42" max="42" width="11.4285714285714" style="4" hidden="1" customWidth="1"/>
    <col min="43" max="43" width="9.14285714285714" style="4" hidden="1" customWidth="1"/>
    <col min="44" max="44" width="20.5714285714286" style="4" hidden="1" customWidth="1"/>
    <col min="45" max="46" width="16.7142857142857" style="844" customWidth="1"/>
    <col min="47" max="47" width="12.4285714285714" style="4" hidden="1" customWidth="1"/>
    <col min="48" max="66" width="9.14285714285714" style="4" hidden="1" customWidth="1"/>
  </cols>
  <sheetData>
    <row r="1" ht="25.15" customHeight="1" spans="1:66">
      <c r="A1" s="845" t="s">
        <v>941</v>
      </c>
      <c r="B1" s="845"/>
      <c r="C1" s="846"/>
      <c r="D1" s="846"/>
      <c r="E1" s="846"/>
      <c r="F1" s="846"/>
      <c r="G1" s="846"/>
      <c r="H1" s="846"/>
      <c r="I1" s="846"/>
      <c r="J1" s="846"/>
      <c r="K1" s="846"/>
      <c r="L1" s="846"/>
      <c r="M1" s="542"/>
      <c r="N1" s="846"/>
      <c r="O1" s="542"/>
      <c r="P1" s="542"/>
      <c r="Q1" s="542"/>
      <c r="R1" s="542"/>
      <c r="S1" s="542"/>
      <c r="T1" s="542"/>
      <c r="U1" s="542"/>
      <c r="V1" s="542"/>
      <c r="W1" s="542"/>
      <c r="X1" s="569"/>
      <c r="Y1" s="542"/>
      <c r="Z1" s="568"/>
      <c r="AA1" s="568"/>
      <c r="AB1" s="568"/>
      <c r="AC1" s="568"/>
      <c r="AD1" s="568"/>
      <c r="AE1" s="568"/>
      <c r="AF1" s="568"/>
      <c r="AG1" s="568"/>
      <c r="AH1" s="568"/>
      <c r="AI1" s="568"/>
      <c r="AJ1" s="568"/>
      <c r="AK1" s="568"/>
      <c r="AL1" s="568"/>
      <c r="AM1" s="568"/>
      <c r="AN1" s="568"/>
      <c r="AO1" s="568"/>
      <c r="AP1" s="568"/>
      <c r="AQ1" s="542"/>
      <c r="AR1" s="568"/>
      <c r="AS1" s="537"/>
      <c r="AT1" s="864"/>
      <c r="AU1" s="749"/>
      <c r="AV1" s="201"/>
      <c r="AW1" s="6"/>
      <c r="AX1" s="6"/>
      <c r="AY1" s="6"/>
      <c r="AZ1" s="6"/>
      <c r="BA1" s="203"/>
      <c r="BB1" s="201"/>
      <c r="BC1" s="201"/>
      <c r="BD1" s="201"/>
      <c r="BE1" s="201"/>
      <c r="BF1" s="201"/>
      <c r="BG1" s="201"/>
      <c r="BH1" s="7"/>
      <c r="BI1" s="201"/>
      <c r="BJ1" s="201"/>
      <c r="BK1" s="201"/>
      <c r="BL1" s="599"/>
      <c r="BM1" s="599"/>
      <c r="BN1" s="599"/>
    </row>
    <row r="2" ht="55.9" customHeight="1" spans="1:66">
      <c r="A2" s="828" t="s">
        <v>942</v>
      </c>
      <c r="B2" s="828"/>
      <c r="C2" s="828"/>
      <c r="D2" s="828"/>
      <c r="E2" s="828"/>
      <c r="F2" s="828"/>
      <c r="G2" s="828"/>
      <c r="H2" s="828"/>
      <c r="I2" s="828"/>
      <c r="J2" s="828"/>
      <c r="K2" s="828"/>
      <c r="L2" s="828"/>
      <c r="M2" s="543"/>
      <c r="N2" s="828"/>
      <c r="O2" s="543"/>
      <c r="P2" s="543"/>
      <c r="Q2" s="543"/>
      <c r="R2" s="543"/>
      <c r="S2" s="543"/>
      <c r="T2" s="543"/>
      <c r="U2" s="543"/>
      <c r="V2" s="543"/>
      <c r="W2" s="543"/>
      <c r="X2" s="751"/>
      <c r="Y2" s="751"/>
      <c r="Z2" s="751"/>
      <c r="AA2" s="751"/>
      <c r="AB2" s="751"/>
      <c r="AC2" s="751"/>
      <c r="AD2" s="751"/>
      <c r="AE2" s="751"/>
      <c r="AF2" s="751"/>
      <c r="AG2" s="751"/>
      <c r="AH2" s="751"/>
      <c r="AI2" s="751"/>
      <c r="AJ2" s="751"/>
      <c r="AK2" s="751"/>
      <c r="AL2" s="751"/>
      <c r="AM2" s="751"/>
      <c r="AN2" s="751"/>
      <c r="AO2" s="751"/>
      <c r="AP2" s="751"/>
      <c r="AQ2" s="751"/>
      <c r="AR2" s="751"/>
      <c r="AS2" s="865"/>
      <c r="AT2" s="865"/>
      <c r="AU2" s="751"/>
      <c r="AV2" s="571"/>
      <c r="AW2" s="597"/>
      <c r="AX2" s="598"/>
      <c r="AY2" s="598"/>
      <c r="AZ2" s="598"/>
      <c r="BA2" s="605"/>
      <c r="BB2" s="599"/>
      <c r="BC2" s="201"/>
      <c r="BD2" s="599"/>
      <c r="BE2" s="599"/>
      <c r="BF2" s="599"/>
      <c r="BG2" s="599"/>
      <c r="BI2" s="201"/>
      <c r="BJ2" s="201"/>
      <c r="BK2" s="201"/>
      <c r="BL2" s="599"/>
      <c r="BM2" s="599"/>
      <c r="BN2" s="599"/>
    </row>
    <row r="3" s="9" customFormat="1" ht="20.65" customHeight="1" spans="1:66">
      <c r="A3" s="545"/>
      <c r="B3" s="546"/>
      <c r="C3" s="547"/>
      <c r="D3" s="662"/>
      <c r="E3" s="547"/>
      <c r="F3" s="549"/>
      <c r="G3" s="549"/>
      <c r="H3" s="550"/>
      <c r="I3" s="550"/>
      <c r="J3" s="550"/>
      <c r="K3" s="550"/>
      <c r="L3" s="550"/>
      <c r="M3" s="550"/>
      <c r="N3" s="677"/>
      <c r="O3" s="572" t="s">
        <v>2</v>
      </c>
      <c r="P3" s="550" t="s">
        <v>2</v>
      </c>
      <c r="Q3" s="550"/>
      <c r="R3" s="550"/>
      <c r="S3" s="550"/>
      <c r="T3" s="550"/>
      <c r="U3" s="550"/>
      <c r="V3" s="550"/>
      <c r="W3" s="550"/>
      <c r="X3" s="673"/>
      <c r="Y3" s="673"/>
      <c r="Z3" s="677"/>
      <c r="AA3" s="677"/>
      <c r="AB3" s="677"/>
      <c r="AC3" s="677"/>
      <c r="AD3" s="677"/>
      <c r="AE3" s="677"/>
      <c r="AF3" s="677"/>
      <c r="AG3" s="677"/>
      <c r="AH3" s="677"/>
      <c r="AI3" s="677"/>
      <c r="AJ3" s="677"/>
      <c r="AK3" s="677"/>
      <c r="AL3" s="677"/>
      <c r="AM3" s="677"/>
      <c r="AN3" s="677"/>
      <c r="AO3" s="677"/>
      <c r="AP3" s="677"/>
      <c r="AQ3" s="550" t="s">
        <v>2</v>
      </c>
      <c r="AR3" s="677"/>
      <c r="AS3" s="587" t="s">
        <v>3</v>
      </c>
      <c r="AT3" s="866"/>
      <c r="AU3" s="772"/>
      <c r="AV3" s="10"/>
      <c r="AW3" s="10" t="s">
        <v>4</v>
      </c>
      <c r="AX3" s="10" t="s">
        <v>4</v>
      </c>
      <c r="AY3" s="10" t="s">
        <v>4</v>
      </c>
      <c r="AZ3" s="10"/>
      <c r="BA3" s="10" t="s">
        <v>4</v>
      </c>
      <c r="BB3" s="10" t="s">
        <v>4</v>
      </c>
      <c r="BC3" s="10" t="s">
        <v>4</v>
      </c>
      <c r="BD3" s="10" t="s">
        <v>4</v>
      </c>
      <c r="BE3" s="10" t="s">
        <v>4</v>
      </c>
      <c r="BF3" s="10" t="s">
        <v>4</v>
      </c>
      <c r="BG3" s="10" t="s">
        <v>4</v>
      </c>
      <c r="BH3" s="10" t="s">
        <v>4</v>
      </c>
      <c r="BI3" s="10"/>
      <c r="BJ3" s="10"/>
      <c r="BK3" s="10"/>
      <c r="BL3" s="600"/>
      <c r="BM3" s="600"/>
      <c r="BN3" s="201"/>
    </row>
    <row r="4" s="843" customFormat="1" ht="27.95" customHeight="1" spans="1:66">
      <c r="A4" s="847" t="s">
        <v>5</v>
      </c>
      <c r="B4" s="847" t="s">
        <v>6</v>
      </c>
      <c r="C4" s="847" t="s">
        <v>7</v>
      </c>
      <c r="D4" s="847" t="s">
        <v>8</v>
      </c>
      <c r="E4" s="848" t="s">
        <v>9</v>
      </c>
      <c r="F4" s="849" t="s">
        <v>10</v>
      </c>
      <c r="G4" s="850" t="s">
        <v>943</v>
      </c>
      <c r="H4" s="850" t="s">
        <v>12</v>
      </c>
      <c r="I4" s="850"/>
      <c r="J4" s="850"/>
      <c r="K4" s="850"/>
      <c r="L4" s="850"/>
      <c r="M4" s="265"/>
      <c r="N4" s="850"/>
      <c r="O4" s="265" t="s">
        <v>13</v>
      </c>
      <c r="P4" s="265"/>
      <c r="Q4" s="99" t="s">
        <v>14</v>
      </c>
      <c r="R4" s="99"/>
      <c r="S4" s="99"/>
      <c r="T4" s="99"/>
      <c r="U4" s="99"/>
      <c r="V4" s="99"/>
      <c r="W4" s="99"/>
      <c r="X4" s="99" t="s">
        <v>15</v>
      </c>
      <c r="Y4" s="99" t="s">
        <v>16</v>
      </c>
      <c r="Z4" s="330" t="s">
        <v>17</v>
      </c>
      <c r="AA4" s="330"/>
      <c r="AB4" s="330"/>
      <c r="AC4" s="330" t="s">
        <v>18</v>
      </c>
      <c r="AD4" s="330"/>
      <c r="AE4" s="330"/>
      <c r="AF4" s="330" t="s">
        <v>19</v>
      </c>
      <c r="AG4" s="330"/>
      <c r="AH4" s="330"/>
      <c r="AI4" s="330" t="s">
        <v>20</v>
      </c>
      <c r="AJ4" s="330"/>
      <c r="AK4" s="330"/>
      <c r="AL4" s="330" t="s">
        <v>21</v>
      </c>
      <c r="AM4" s="330"/>
      <c r="AN4" s="330"/>
      <c r="AO4" s="330"/>
      <c r="AP4" s="330"/>
      <c r="AQ4" s="99" t="s">
        <v>22</v>
      </c>
      <c r="AR4" s="99" t="s">
        <v>23</v>
      </c>
      <c r="AS4" s="867" t="s">
        <v>24</v>
      </c>
      <c r="AT4" s="867" t="s">
        <v>25</v>
      </c>
      <c r="AU4" s="145" t="s">
        <v>26</v>
      </c>
      <c r="AV4" s="601" t="s">
        <v>27</v>
      </c>
      <c r="AW4" s="601" t="s">
        <v>28</v>
      </c>
      <c r="AX4" s="601" t="s">
        <v>29</v>
      </c>
      <c r="AY4" s="601" t="s">
        <v>30</v>
      </c>
      <c r="AZ4" s="601" t="s">
        <v>31</v>
      </c>
      <c r="BA4" s="607" t="s">
        <v>32</v>
      </c>
      <c r="BB4" s="165" t="s">
        <v>33</v>
      </c>
      <c r="BC4" s="157" t="s">
        <v>34</v>
      </c>
      <c r="BD4" s="608" t="s">
        <v>35</v>
      </c>
      <c r="BE4" s="609" t="s">
        <v>35</v>
      </c>
      <c r="BF4" s="610"/>
      <c r="BG4" s="617"/>
      <c r="BH4" s="202" t="s">
        <v>36</v>
      </c>
      <c r="BI4" s="157" t="s">
        <v>37</v>
      </c>
      <c r="BJ4" s="157" t="s">
        <v>38</v>
      </c>
      <c r="BK4" s="157" t="s">
        <v>39</v>
      </c>
      <c r="BL4" s="624" t="s">
        <v>40</v>
      </c>
      <c r="BM4" s="600" t="s">
        <v>41</v>
      </c>
      <c r="BN4" s="781" t="s">
        <v>42</v>
      </c>
    </row>
    <row r="5" s="843" customFormat="1" ht="48" customHeight="1" spans="1:66">
      <c r="A5" s="847"/>
      <c r="B5" s="847"/>
      <c r="C5" s="847"/>
      <c r="D5" s="847"/>
      <c r="E5" s="848"/>
      <c r="F5" s="849"/>
      <c r="G5" s="850"/>
      <c r="H5" s="850" t="s">
        <v>43</v>
      </c>
      <c r="I5" s="850" t="s">
        <v>44</v>
      </c>
      <c r="J5" s="850" t="s">
        <v>45</v>
      </c>
      <c r="K5" s="850" t="s">
        <v>46</v>
      </c>
      <c r="L5" s="850" t="s">
        <v>47</v>
      </c>
      <c r="M5" s="265" t="s">
        <v>944</v>
      </c>
      <c r="N5" s="850" t="s">
        <v>49</v>
      </c>
      <c r="O5" s="576" t="s">
        <v>50</v>
      </c>
      <c r="P5" s="265" t="s">
        <v>51</v>
      </c>
      <c r="Q5" s="730" t="s">
        <v>52</v>
      </c>
      <c r="R5" s="730" t="s">
        <v>53</v>
      </c>
      <c r="S5" s="730" t="s">
        <v>54</v>
      </c>
      <c r="T5" s="730" t="s">
        <v>55</v>
      </c>
      <c r="U5" s="730" t="s">
        <v>56</v>
      </c>
      <c r="V5" s="730" t="s">
        <v>57</v>
      </c>
      <c r="W5" s="330" t="s">
        <v>58</v>
      </c>
      <c r="X5" s="99"/>
      <c r="Y5" s="99"/>
      <c r="Z5" s="330" t="s">
        <v>59</v>
      </c>
      <c r="AA5" s="330" t="s">
        <v>60</v>
      </c>
      <c r="AB5" s="330" t="s">
        <v>61</v>
      </c>
      <c r="AC5" s="330" t="s">
        <v>62</v>
      </c>
      <c r="AD5" s="330" t="s">
        <v>63</v>
      </c>
      <c r="AE5" s="330" t="s">
        <v>61</v>
      </c>
      <c r="AF5" s="330" t="s">
        <v>64</v>
      </c>
      <c r="AG5" s="330" t="s">
        <v>65</v>
      </c>
      <c r="AH5" s="330" t="s">
        <v>61</v>
      </c>
      <c r="AI5" s="330" t="s">
        <v>66</v>
      </c>
      <c r="AJ5" s="330" t="s">
        <v>67</v>
      </c>
      <c r="AK5" s="330" t="s">
        <v>68</v>
      </c>
      <c r="AL5" s="330" t="s">
        <v>69</v>
      </c>
      <c r="AM5" s="330" t="s">
        <v>70</v>
      </c>
      <c r="AN5" s="330" t="s">
        <v>71</v>
      </c>
      <c r="AO5" s="330" t="s">
        <v>72</v>
      </c>
      <c r="AP5" s="330" t="s">
        <v>73</v>
      </c>
      <c r="AQ5" s="99"/>
      <c r="AR5" s="99"/>
      <c r="AS5" s="867"/>
      <c r="AT5" s="867"/>
      <c r="AU5" s="145"/>
      <c r="AV5" s="601"/>
      <c r="AW5" s="601"/>
      <c r="AX5" s="601"/>
      <c r="AY5" s="601"/>
      <c r="AZ5" s="601"/>
      <c r="BA5" s="607"/>
      <c r="BB5" s="165"/>
      <c r="BC5" s="157"/>
      <c r="BD5" s="611"/>
      <c r="BE5" s="157" t="s">
        <v>74</v>
      </c>
      <c r="BF5" s="157" t="s">
        <v>75</v>
      </c>
      <c r="BG5" s="157"/>
      <c r="BH5" s="202"/>
      <c r="BI5" s="611"/>
      <c r="BJ5" s="157"/>
      <c r="BK5" s="157"/>
      <c r="BL5" s="624"/>
      <c r="BM5" s="600"/>
      <c r="BN5" s="781"/>
    </row>
    <row r="6" s="529" customFormat="1" ht="21.75" hidden="1" customHeight="1" spans="1:66">
      <c r="A6" s="551"/>
      <c r="B6" s="554"/>
      <c r="C6" s="551"/>
      <c r="D6" s="554"/>
      <c r="E6" s="552"/>
      <c r="F6" s="134"/>
      <c r="G6" s="134"/>
      <c r="H6" s="265"/>
      <c r="I6" s="265"/>
      <c r="J6" s="265"/>
      <c r="K6" s="265"/>
      <c r="L6" s="265"/>
      <c r="M6" s="265"/>
      <c r="N6" s="664"/>
      <c r="O6" s="576"/>
      <c r="P6" s="265"/>
      <c r="Q6" s="265"/>
      <c r="R6" s="265"/>
      <c r="S6" s="265"/>
      <c r="T6" s="265"/>
      <c r="U6" s="265"/>
      <c r="V6" s="265"/>
      <c r="W6" s="265"/>
      <c r="X6" s="585"/>
      <c r="Y6" s="585"/>
      <c r="Z6" s="577"/>
      <c r="AA6" s="577"/>
      <c r="AB6" s="577"/>
      <c r="AC6" s="577"/>
      <c r="AD6" s="577"/>
      <c r="AE6" s="577"/>
      <c r="AF6" s="577"/>
      <c r="AG6" s="577"/>
      <c r="AH6" s="577"/>
      <c r="AI6" s="577"/>
      <c r="AJ6" s="577"/>
      <c r="AK6" s="577"/>
      <c r="AL6" s="577"/>
      <c r="AM6" s="577"/>
      <c r="AN6" s="577"/>
      <c r="AO6" s="577"/>
      <c r="AP6" s="577"/>
      <c r="AQ6" s="585"/>
      <c r="AR6" s="577"/>
      <c r="AS6" s="590"/>
      <c r="AT6" s="145"/>
      <c r="AU6" s="773"/>
      <c r="AV6" s="604"/>
      <c r="AW6" s="601"/>
      <c r="AX6" s="601"/>
      <c r="AY6" s="601"/>
      <c r="AZ6" s="601"/>
      <c r="BA6" s="607"/>
      <c r="BB6" s="165"/>
      <c r="BC6" s="157"/>
      <c r="BD6" s="157"/>
      <c r="BE6" s="157"/>
      <c r="BF6" s="157"/>
      <c r="BG6" s="157"/>
      <c r="BH6" s="604"/>
      <c r="BI6" s="157"/>
      <c r="BJ6" s="157"/>
      <c r="BK6" s="157"/>
      <c r="BL6" s="600"/>
      <c r="BM6" s="600"/>
      <c r="BN6" s="201"/>
    </row>
    <row r="7" s="9" customFormat="1" ht="30" customHeight="1" spans="1:66">
      <c r="A7" s="753" t="str">
        <f>"合计（"&amp;SUBTOTAL(3,C9:C220)&amp;"个）"</f>
        <v>合计（201个）</v>
      </c>
      <c r="B7" s="753"/>
      <c r="C7" s="753"/>
      <c r="D7" s="753"/>
      <c r="E7" s="754"/>
      <c r="F7" s="134">
        <f t="shared" ref="F7:L7" si="0">F8+F41+F184</f>
        <v>8540646.726</v>
      </c>
      <c r="G7" s="134">
        <f t="shared" si="0"/>
        <v>1769003.4</v>
      </c>
      <c r="H7" s="134"/>
      <c r="I7" s="134">
        <f t="shared" si="0"/>
        <v>177265.29</v>
      </c>
      <c r="J7" s="134">
        <f t="shared" si="0"/>
        <v>471881.17</v>
      </c>
      <c r="K7" s="134">
        <f t="shared" si="0"/>
        <v>854414.34</v>
      </c>
      <c r="L7" s="134">
        <f t="shared" si="0"/>
        <v>1364400.886</v>
      </c>
      <c r="M7" s="134"/>
      <c r="N7" s="134"/>
      <c r="O7" s="133"/>
      <c r="P7" s="134"/>
      <c r="Q7" s="37"/>
      <c r="R7" s="37"/>
      <c r="S7" s="37"/>
      <c r="T7" s="37"/>
      <c r="U7" s="37"/>
      <c r="V7" s="37"/>
      <c r="W7" s="37"/>
      <c r="X7" s="585"/>
      <c r="Y7" s="585"/>
      <c r="Z7" s="134" t="e">
        <f t="shared" ref="Z7:AP7" si="1">Z8+Z41+Z184</f>
        <v>#REF!</v>
      </c>
      <c r="AA7" s="134" t="e">
        <f t="shared" si="1"/>
        <v>#REF!</v>
      </c>
      <c r="AB7" s="134" t="e">
        <f t="shared" si="1"/>
        <v>#REF!</v>
      </c>
      <c r="AC7" s="134" t="e">
        <f t="shared" si="1"/>
        <v>#REF!</v>
      </c>
      <c r="AD7" s="134" t="e">
        <f t="shared" si="1"/>
        <v>#REF!</v>
      </c>
      <c r="AE7" s="134" t="e">
        <f t="shared" si="1"/>
        <v>#REF!</v>
      </c>
      <c r="AF7" s="134" t="e">
        <f t="shared" si="1"/>
        <v>#REF!</v>
      </c>
      <c r="AG7" s="134" t="e">
        <f t="shared" si="1"/>
        <v>#REF!</v>
      </c>
      <c r="AH7" s="134" t="e">
        <f t="shared" si="1"/>
        <v>#REF!</v>
      </c>
      <c r="AI7" s="134" t="e">
        <f t="shared" si="1"/>
        <v>#REF!</v>
      </c>
      <c r="AJ7" s="134" t="e">
        <f t="shared" si="1"/>
        <v>#REF!</v>
      </c>
      <c r="AK7" s="134" t="e">
        <f t="shared" si="1"/>
        <v>#REF!</v>
      </c>
      <c r="AL7" s="134" t="e">
        <f t="shared" si="1"/>
        <v>#REF!</v>
      </c>
      <c r="AM7" s="134" t="e">
        <f t="shared" si="1"/>
        <v>#REF!</v>
      </c>
      <c r="AN7" s="134" t="e">
        <f t="shared" si="1"/>
        <v>#REF!</v>
      </c>
      <c r="AO7" s="134" t="e">
        <f t="shared" si="1"/>
        <v>#REF!</v>
      </c>
      <c r="AP7" s="134" t="e">
        <f t="shared" si="1"/>
        <v>#REF!</v>
      </c>
      <c r="AQ7" s="585"/>
      <c r="AR7" s="577"/>
      <c r="AS7" s="774"/>
      <c r="AT7" s="774"/>
      <c r="AU7" s="171"/>
      <c r="AV7" s="165"/>
      <c r="AW7" s="161"/>
      <c r="AX7" s="161"/>
      <c r="AY7" s="161"/>
      <c r="AZ7" s="161"/>
      <c r="BA7" s="169"/>
      <c r="BB7" s="165"/>
      <c r="BC7" s="165"/>
      <c r="BD7" s="165"/>
      <c r="BE7" s="169"/>
      <c r="BF7" s="169"/>
      <c r="BG7" s="169"/>
      <c r="BI7" s="165"/>
      <c r="BJ7" s="157"/>
      <c r="BK7" s="157"/>
      <c r="BN7" s="7"/>
    </row>
    <row r="8" s="9" customFormat="1" ht="30" customHeight="1" spans="1:66">
      <c r="A8" s="551" t="s">
        <v>76</v>
      </c>
      <c r="B8" s="557" t="str">
        <f>"中央和自治区投资项目（"&amp;SUBTOTAL(3,C9:C40)&amp;"个）"</f>
        <v>中央和自治区投资项目（32个）</v>
      </c>
      <c r="C8" s="557"/>
      <c r="D8" s="557"/>
      <c r="E8" s="551"/>
      <c r="F8" s="134">
        <f t="shared" ref="F8:L8" si="2">SUBTOTAL(9,F9:F40)</f>
        <v>2168347.72</v>
      </c>
      <c r="G8" s="134">
        <f t="shared" si="2"/>
        <v>759602.4</v>
      </c>
      <c r="H8" s="134"/>
      <c r="I8" s="134">
        <f t="shared" si="2"/>
        <v>59290</v>
      </c>
      <c r="J8" s="134">
        <f t="shared" si="2"/>
        <v>165198</v>
      </c>
      <c r="K8" s="134">
        <f t="shared" si="2"/>
        <v>318869</v>
      </c>
      <c r="L8" s="134">
        <f t="shared" si="2"/>
        <v>523476</v>
      </c>
      <c r="M8" s="134"/>
      <c r="N8" s="134"/>
      <c r="O8" s="133"/>
      <c r="P8" s="134"/>
      <c r="Q8" s="134"/>
      <c r="R8" s="134"/>
      <c r="S8" s="134"/>
      <c r="T8" s="134"/>
      <c r="U8" s="134"/>
      <c r="V8" s="134"/>
      <c r="W8" s="134"/>
      <c r="X8" s="90"/>
      <c r="Y8" s="90"/>
      <c r="Z8" s="134">
        <f t="shared" ref="Z8:AP8" si="3">SUBTOTAL(9,Z9:Z40)</f>
        <v>25473.8357</v>
      </c>
      <c r="AA8" s="134">
        <f t="shared" si="3"/>
        <v>5584.7842</v>
      </c>
      <c r="AB8" s="134">
        <f t="shared" si="3"/>
        <v>19809.2575</v>
      </c>
      <c r="AC8" s="134">
        <f t="shared" si="3"/>
        <v>9755.757</v>
      </c>
      <c r="AD8" s="134">
        <f t="shared" si="3"/>
        <v>7734.01</v>
      </c>
      <c r="AE8" s="134">
        <f t="shared" si="3"/>
        <v>2022</v>
      </c>
      <c r="AF8" s="134">
        <f t="shared" si="3"/>
        <v>1536</v>
      </c>
      <c r="AG8" s="134">
        <f t="shared" si="3"/>
        <v>1386</v>
      </c>
      <c r="AH8" s="134">
        <f t="shared" si="3"/>
        <v>150</v>
      </c>
      <c r="AI8" s="134">
        <f t="shared" si="3"/>
        <v>21256.9357</v>
      </c>
      <c r="AJ8" s="134">
        <f t="shared" si="3"/>
        <v>16471.9817</v>
      </c>
      <c r="AK8" s="134">
        <f t="shared" si="3"/>
        <v>4785.854</v>
      </c>
      <c r="AL8" s="134">
        <f t="shared" si="3"/>
        <v>108445.5</v>
      </c>
      <c r="AM8" s="134">
        <f t="shared" si="3"/>
        <v>59774</v>
      </c>
      <c r="AN8" s="134">
        <f t="shared" si="3"/>
        <v>0</v>
      </c>
      <c r="AO8" s="134">
        <f t="shared" si="3"/>
        <v>368072</v>
      </c>
      <c r="AP8" s="134">
        <f t="shared" si="3"/>
        <v>46063.67</v>
      </c>
      <c r="AQ8" s="90"/>
      <c r="AR8" s="112"/>
      <c r="AS8" s="591"/>
      <c r="AT8" s="591"/>
      <c r="AU8" s="93"/>
      <c r="AV8" s="165"/>
      <c r="AW8" s="158"/>
      <c r="AX8" s="158"/>
      <c r="AY8" s="158"/>
      <c r="AZ8" s="158"/>
      <c r="BA8" s="169"/>
      <c r="BB8" s="165"/>
      <c r="BC8" s="165"/>
      <c r="BD8" s="165"/>
      <c r="BE8" s="169"/>
      <c r="BF8" s="169"/>
      <c r="BG8" s="169"/>
      <c r="BH8" s="872"/>
      <c r="BI8" s="165"/>
      <c r="BJ8" s="157"/>
      <c r="BK8" s="157"/>
      <c r="BN8" s="7"/>
    </row>
    <row r="9" s="9" customFormat="1" ht="80.1" customHeight="1" spans="1:66">
      <c r="A9" s="23">
        <f>SUBTOTAL(3,C$9:C9)</f>
        <v>1</v>
      </c>
      <c r="B9" s="55" t="s">
        <v>945</v>
      </c>
      <c r="C9" s="59" t="s">
        <v>562</v>
      </c>
      <c r="D9" s="55" t="s">
        <v>946</v>
      </c>
      <c r="E9" s="35" t="s">
        <v>575</v>
      </c>
      <c r="F9" s="38">
        <v>948306</v>
      </c>
      <c r="G9" s="38">
        <v>171668.4</v>
      </c>
      <c r="H9" s="134"/>
      <c r="I9" s="67">
        <v>30000</v>
      </c>
      <c r="J9" s="67">
        <v>80000</v>
      </c>
      <c r="K9" s="67">
        <v>160000</v>
      </c>
      <c r="L9" s="38">
        <v>270000</v>
      </c>
      <c r="M9" s="134"/>
      <c r="N9" s="123" t="s">
        <v>947</v>
      </c>
      <c r="O9" s="133"/>
      <c r="P9" s="134"/>
      <c r="Q9" s="134"/>
      <c r="R9" s="134"/>
      <c r="S9" s="134"/>
      <c r="T9" s="134"/>
      <c r="U9" s="134"/>
      <c r="V9" s="134"/>
      <c r="W9" s="134"/>
      <c r="X9" s="90"/>
      <c r="Y9" s="90"/>
      <c r="Z9" s="132">
        <v>12202.6</v>
      </c>
      <c r="AA9" s="132"/>
      <c r="AB9" s="132">
        <v>12202.6</v>
      </c>
      <c r="AC9" s="132">
        <v>5861.0535</v>
      </c>
      <c r="AD9" s="132">
        <v>5861.0535</v>
      </c>
      <c r="AE9" s="132"/>
      <c r="AF9" s="132"/>
      <c r="AG9" s="132"/>
      <c r="AH9" s="132"/>
      <c r="AI9" s="132">
        <v>12202.6</v>
      </c>
      <c r="AJ9" s="132">
        <v>10835</v>
      </c>
      <c r="AK9" s="132">
        <v>1368</v>
      </c>
      <c r="AL9" s="132"/>
      <c r="AM9" s="132">
        <v>10000</v>
      </c>
      <c r="AN9" s="132"/>
      <c r="AO9" s="132">
        <f>L9-AM9</f>
        <v>260000</v>
      </c>
      <c r="AP9" s="132"/>
      <c r="AQ9" s="90"/>
      <c r="AR9" s="90" t="s">
        <v>948</v>
      </c>
      <c r="AS9" s="34" t="s">
        <v>949</v>
      </c>
      <c r="AT9" s="34" t="s">
        <v>950</v>
      </c>
      <c r="AU9" s="91"/>
      <c r="AV9" s="600"/>
      <c r="AW9" s="840"/>
      <c r="AX9" s="840"/>
      <c r="AY9" s="840"/>
      <c r="AZ9" s="840"/>
      <c r="BA9" s="529"/>
      <c r="BB9" s="600"/>
      <c r="BC9" s="600"/>
      <c r="BD9" s="600"/>
      <c r="BE9" s="529"/>
      <c r="BF9" s="529"/>
      <c r="BG9" s="529"/>
      <c r="BH9" s="873"/>
      <c r="BI9" s="600"/>
      <c r="BJ9" s="201"/>
      <c r="BK9" s="201"/>
      <c r="BN9" s="7"/>
    </row>
    <row r="10" s="9" customFormat="1" ht="80.1" customHeight="1" spans="1:66">
      <c r="A10" s="23">
        <f>SUBTOTAL(3,C$9:C10)</f>
        <v>2</v>
      </c>
      <c r="B10" s="55" t="s">
        <v>951</v>
      </c>
      <c r="C10" s="59" t="s">
        <v>562</v>
      </c>
      <c r="D10" s="55" t="s">
        <v>952</v>
      </c>
      <c r="E10" s="35" t="s">
        <v>575</v>
      </c>
      <c r="F10" s="38">
        <v>139460</v>
      </c>
      <c r="G10" s="38">
        <v>11000</v>
      </c>
      <c r="H10" s="123"/>
      <c r="I10" s="67">
        <v>1000</v>
      </c>
      <c r="J10" s="67">
        <v>5000</v>
      </c>
      <c r="K10" s="67">
        <v>17000</v>
      </c>
      <c r="L10" s="38">
        <v>27000</v>
      </c>
      <c r="M10" s="38"/>
      <c r="N10" s="123" t="s">
        <v>953</v>
      </c>
      <c r="O10" s="67"/>
      <c r="P10" s="259" t="s">
        <v>954</v>
      </c>
      <c r="Q10" s="90" t="s">
        <v>955</v>
      </c>
      <c r="R10" s="132">
        <v>2030</v>
      </c>
      <c r="S10" s="132"/>
      <c r="T10" s="132">
        <v>2030</v>
      </c>
      <c r="U10" s="132">
        <v>613.6</v>
      </c>
      <c r="V10" s="132">
        <v>564</v>
      </c>
      <c r="W10" s="132">
        <v>50</v>
      </c>
      <c r="X10" s="132"/>
      <c r="Y10" s="132"/>
      <c r="Z10" s="860">
        <v>2030</v>
      </c>
      <c r="AA10" s="860"/>
      <c r="AB10" s="860">
        <v>2030</v>
      </c>
      <c r="AC10" s="860">
        <v>613.6</v>
      </c>
      <c r="AD10" s="860">
        <v>564</v>
      </c>
      <c r="AE10" s="860">
        <v>50</v>
      </c>
      <c r="AF10" s="860"/>
      <c r="AG10" s="860"/>
      <c r="AH10" s="860"/>
      <c r="AI10" s="860">
        <v>1809</v>
      </c>
      <c r="AJ10" s="860">
        <v>1559</v>
      </c>
      <c r="AK10" s="860">
        <v>250</v>
      </c>
      <c r="AL10" s="132">
        <v>4000</v>
      </c>
      <c r="AM10" s="132"/>
      <c r="AN10" s="132"/>
      <c r="AO10" s="132">
        <v>23000</v>
      </c>
      <c r="AP10" s="132"/>
      <c r="AQ10" s="90"/>
      <c r="AR10" s="55" t="s">
        <v>956</v>
      </c>
      <c r="AS10" s="34" t="s">
        <v>957</v>
      </c>
      <c r="AT10" s="34" t="s">
        <v>950</v>
      </c>
      <c r="AU10" s="91" t="s">
        <v>958</v>
      </c>
      <c r="AV10" s="600"/>
      <c r="AW10" s="840"/>
      <c r="AX10" s="840"/>
      <c r="AY10" s="840"/>
      <c r="AZ10" s="840"/>
      <c r="BA10" s="529"/>
      <c r="BB10" s="600"/>
      <c r="BC10" s="600"/>
      <c r="BD10" s="600"/>
      <c r="BE10" s="529"/>
      <c r="BF10" s="529"/>
      <c r="BG10" s="529"/>
      <c r="BH10" s="873"/>
      <c r="BI10" s="600"/>
      <c r="BJ10" s="201"/>
      <c r="BK10" s="201"/>
      <c r="BN10" s="7"/>
    </row>
    <row r="11" s="9" customFormat="1" ht="90" customHeight="1" spans="1:66">
      <c r="A11" s="23">
        <f>SUBTOTAL(3,C$9:C11)</f>
        <v>3</v>
      </c>
      <c r="B11" s="671" t="s">
        <v>959</v>
      </c>
      <c r="C11" s="35" t="s">
        <v>562</v>
      </c>
      <c r="D11" s="672" t="s">
        <v>960</v>
      </c>
      <c r="E11" s="35" t="s">
        <v>604</v>
      </c>
      <c r="F11" s="38">
        <v>105943</v>
      </c>
      <c r="G11" s="38">
        <v>10000</v>
      </c>
      <c r="H11" s="134"/>
      <c r="I11" s="67">
        <v>2000</v>
      </c>
      <c r="J11" s="67">
        <v>4000</v>
      </c>
      <c r="K11" s="67">
        <v>6000</v>
      </c>
      <c r="L11" s="38">
        <v>10000</v>
      </c>
      <c r="M11" s="134"/>
      <c r="N11" s="123" t="s">
        <v>953</v>
      </c>
      <c r="O11" s="133"/>
      <c r="P11" s="134"/>
      <c r="Q11" s="134"/>
      <c r="R11" s="134"/>
      <c r="S11" s="134"/>
      <c r="T11" s="134"/>
      <c r="U11" s="134"/>
      <c r="V11" s="134"/>
      <c r="W11" s="134"/>
      <c r="X11" s="90"/>
      <c r="Y11" s="90"/>
      <c r="Z11" s="132">
        <v>4709.982</v>
      </c>
      <c r="AA11" s="132"/>
      <c r="AB11" s="132">
        <v>4710</v>
      </c>
      <c r="AC11" s="132">
        <v>1644.147</v>
      </c>
      <c r="AD11" s="132"/>
      <c r="AE11" s="132">
        <v>1644</v>
      </c>
      <c r="AF11" s="132"/>
      <c r="AG11" s="132"/>
      <c r="AH11" s="132"/>
      <c r="AI11" s="132">
        <v>4224.274</v>
      </c>
      <c r="AJ11" s="132">
        <v>1300.66</v>
      </c>
      <c r="AK11" s="132">
        <v>2923.614</v>
      </c>
      <c r="AL11" s="730">
        <v>15000</v>
      </c>
      <c r="AM11" s="132"/>
      <c r="AN11" s="132"/>
      <c r="AO11" s="132">
        <f>L11-AM11</f>
        <v>10000</v>
      </c>
      <c r="AP11" s="132"/>
      <c r="AQ11" s="90"/>
      <c r="AR11" s="259" t="s">
        <v>961</v>
      </c>
      <c r="AS11" s="34" t="s">
        <v>962</v>
      </c>
      <c r="AT11" s="34" t="s">
        <v>950</v>
      </c>
      <c r="AU11" s="91" t="s">
        <v>963</v>
      </c>
      <c r="AV11" s="600"/>
      <c r="AW11" s="840"/>
      <c r="AX11" s="840"/>
      <c r="AY11" s="840"/>
      <c r="AZ11" s="840"/>
      <c r="BA11" s="529"/>
      <c r="BB11" s="600"/>
      <c r="BC11" s="600"/>
      <c r="BD11" s="600"/>
      <c r="BE11" s="529"/>
      <c r="BF11" s="529"/>
      <c r="BG11" s="529"/>
      <c r="BH11" s="873"/>
      <c r="BI11" s="600"/>
      <c r="BJ11" s="201"/>
      <c r="BK11" s="201"/>
      <c r="BN11" s="7"/>
    </row>
    <row r="12" s="9" customFormat="1" ht="80.1" customHeight="1" spans="1:66">
      <c r="A12" s="23">
        <f>SUBTOTAL(3,C$9:C12)</f>
        <v>4</v>
      </c>
      <c r="B12" s="671" t="s">
        <v>964</v>
      </c>
      <c r="C12" s="35" t="s">
        <v>562</v>
      </c>
      <c r="D12" s="55" t="s">
        <v>965</v>
      </c>
      <c r="E12" s="35" t="s">
        <v>575</v>
      </c>
      <c r="F12" s="38">
        <v>50926.7</v>
      </c>
      <c r="G12" s="38">
        <v>15862</v>
      </c>
      <c r="H12" s="134"/>
      <c r="I12" s="67">
        <v>2000</v>
      </c>
      <c r="J12" s="67">
        <v>8000</v>
      </c>
      <c r="K12" s="67">
        <v>13000</v>
      </c>
      <c r="L12" s="67">
        <v>18000</v>
      </c>
      <c r="M12" s="134"/>
      <c r="N12" s="123" t="s">
        <v>966</v>
      </c>
      <c r="O12" s="133"/>
      <c r="P12" s="134"/>
      <c r="Q12" s="134"/>
      <c r="R12" s="134"/>
      <c r="S12" s="134"/>
      <c r="T12" s="134"/>
      <c r="U12" s="134"/>
      <c r="V12" s="134"/>
      <c r="W12" s="134"/>
      <c r="X12" s="90"/>
      <c r="Y12" s="90"/>
      <c r="Z12" s="132">
        <v>1505</v>
      </c>
      <c r="AA12" s="132">
        <v>1380</v>
      </c>
      <c r="AB12" s="132">
        <v>125</v>
      </c>
      <c r="AC12" s="132">
        <v>436</v>
      </c>
      <c r="AD12" s="132">
        <v>398</v>
      </c>
      <c r="AE12" s="132">
        <v>38</v>
      </c>
      <c r="AF12" s="132"/>
      <c r="AG12" s="132"/>
      <c r="AH12" s="132"/>
      <c r="AI12" s="132">
        <v>4.5</v>
      </c>
      <c r="AJ12" s="132"/>
      <c r="AK12" s="132">
        <v>5</v>
      </c>
      <c r="AL12" s="132"/>
      <c r="AM12" s="132">
        <v>17631</v>
      </c>
      <c r="AN12" s="132"/>
      <c r="AO12" s="132">
        <v>2446</v>
      </c>
      <c r="AP12" s="132"/>
      <c r="AQ12" s="90"/>
      <c r="AR12" s="259" t="s">
        <v>967</v>
      </c>
      <c r="AS12" s="34" t="s">
        <v>968</v>
      </c>
      <c r="AT12" s="34" t="s">
        <v>950</v>
      </c>
      <c r="AU12" s="91"/>
      <c r="AV12" s="600"/>
      <c r="AW12" s="840"/>
      <c r="AX12" s="840"/>
      <c r="AY12" s="840"/>
      <c r="AZ12" s="840"/>
      <c r="BA12" s="529"/>
      <c r="BB12" s="600"/>
      <c r="BC12" s="600"/>
      <c r="BD12" s="600"/>
      <c r="BE12" s="529"/>
      <c r="BF12" s="529"/>
      <c r="BG12" s="529"/>
      <c r="BH12" s="873"/>
      <c r="BI12" s="600"/>
      <c r="BJ12" s="201"/>
      <c r="BK12" s="201"/>
      <c r="BN12" s="7"/>
    </row>
    <row r="13" s="9" customFormat="1" ht="69.95" customHeight="1" spans="1:66">
      <c r="A13" s="23">
        <f>SUBTOTAL(3,C$9:C13)</f>
        <v>5</v>
      </c>
      <c r="B13" s="55" t="s">
        <v>969</v>
      </c>
      <c r="C13" s="59" t="s">
        <v>810</v>
      </c>
      <c r="D13" s="34" t="s">
        <v>970</v>
      </c>
      <c r="E13" s="35" t="s">
        <v>827</v>
      </c>
      <c r="F13" s="38">
        <v>375003</v>
      </c>
      <c r="G13" s="38">
        <v>293346</v>
      </c>
      <c r="H13" s="81" t="s">
        <v>131</v>
      </c>
      <c r="I13" s="37">
        <v>5000</v>
      </c>
      <c r="J13" s="37">
        <v>20000</v>
      </c>
      <c r="K13" s="37">
        <v>45000</v>
      </c>
      <c r="L13" s="38">
        <v>81657</v>
      </c>
      <c r="M13" s="134"/>
      <c r="N13" s="123" t="s">
        <v>971</v>
      </c>
      <c r="O13" s="67"/>
      <c r="P13" s="67"/>
      <c r="Q13" s="115"/>
      <c r="R13" s="115"/>
      <c r="S13" s="115"/>
      <c r="T13" s="115"/>
      <c r="U13" s="115"/>
      <c r="V13" s="115"/>
      <c r="W13" s="115"/>
      <c r="X13" s="674"/>
      <c r="Y13" s="674"/>
      <c r="Z13" s="860">
        <v>1987.3217</v>
      </c>
      <c r="AA13" s="860">
        <v>1987.3217</v>
      </c>
      <c r="AB13" s="860"/>
      <c r="AC13" s="860">
        <v>575.1195</v>
      </c>
      <c r="AD13" s="860">
        <v>575.1195</v>
      </c>
      <c r="AE13" s="860"/>
      <c r="AF13" s="860"/>
      <c r="AG13" s="860"/>
      <c r="AH13" s="860"/>
      <c r="AI13" s="132">
        <v>1987.3217</v>
      </c>
      <c r="AJ13" s="132">
        <v>1987.3217</v>
      </c>
      <c r="AK13" s="132"/>
      <c r="AL13" s="132">
        <v>39287</v>
      </c>
      <c r="AM13" s="132"/>
      <c r="AN13" s="132"/>
      <c r="AO13" s="132">
        <f>L13-AL13</f>
        <v>42370</v>
      </c>
      <c r="AP13" s="132"/>
      <c r="AQ13" s="90"/>
      <c r="AR13" s="112" t="s">
        <v>972</v>
      </c>
      <c r="AS13" s="34" t="s">
        <v>949</v>
      </c>
      <c r="AT13" s="34" t="s">
        <v>950</v>
      </c>
      <c r="AU13" s="91" t="s">
        <v>973</v>
      </c>
      <c r="AV13" s="600"/>
      <c r="AW13" s="840"/>
      <c r="AX13" s="840"/>
      <c r="AY13" s="840"/>
      <c r="AZ13" s="840"/>
      <c r="BA13" s="529"/>
      <c r="BB13" s="600"/>
      <c r="BC13" s="600"/>
      <c r="BD13" s="600"/>
      <c r="BE13" s="529"/>
      <c r="BF13" s="529"/>
      <c r="BG13" s="529"/>
      <c r="BH13" s="873"/>
      <c r="BI13" s="600"/>
      <c r="BJ13" s="201"/>
      <c r="BK13" s="201"/>
      <c r="BN13" s="7"/>
    </row>
    <row r="14" s="9" customFormat="1" ht="80.1" customHeight="1" spans="1:66">
      <c r="A14" s="23">
        <f>SUBTOTAL(3,C$9:C14)</f>
        <v>6</v>
      </c>
      <c r="B14" s="55" t="s">
        <v>974</v>
      </c>
      <c r="C14" s="35" t="s">
        <v>562</v>
      </c>
      <c r="D14" s="55" t="s">
        <v>975</v>
      </c>
      <c r="E14" s="35" t="s">
        <v>976</v>
      </c>
      <c r="F14" s="67">
        <v>85065</v>
      </c>
      <c r="G14" s="38">
        <v>61262</v>
      </c>
      <c r="H14" s="81"/>
      <c r="I14" s="67">
        <v>330</v>
      </c>
      <c r="J14" s="67">
        <v>620</v>
      </c>
      <c r="K14" s="67">
        <v>2000</v>
      </c>
      <c r="L14" s="38">
        <v>6500</v>
      </c>
      <c r="M14" s="837"/>
      <c r="N14" s="857" t="s">
        <v>977</v>
      </c>
      <c r="O14" s="111"/>
      <c r="P14" s="67"/>
      <c r="Q14" s="67"/>
      <c r="R14" s="67"/>
      <c r="S14" s="67"/>
      <c r="T14" s="67"/>
      <c r="U14" s="67"/>
      <c r="V14" s="67"/>
      <c r="W14" s="67"/>
      <c r="X14" s="90"/>
      <c r="Y14" s="90"/>
      <c r="Z14" s="132">
        <f>166+205</f>
        <v>371</v>
      </c>
      <c r="AA14" s="132">
        <f>158+74</f>
        <v>232</v>
      </c>
      <c r="AB14" s="132">
        <f>8+131</f>
        <v>139</v>
      </c>
      <c r="AC14" s="132">
        <v>114</v>
      </c>
      <c r="AD14" s="132">
        <v>14</v>
      </c>
      <c r="AE14" s="132">
        <v>100</v>
      </c>
      <c r="AF14" s="132"/>
      <c r="AG14" s="132"/>
      <c r="AH14" s="132"/>
      <c r="AI14" s="132">
        <f>166+80</f>
        <v>246</v>
      </c>
      <c r="AJ14" s="132">
        <f>158+72</f>
        <v>230</v>
      </c>
      <c r="AK14" s="132">
        <f>8+8</f>
        <v>16</v>
      </c>
      <c r="AL14" s="132">
        <v>8917</v>
      </c>
      <c r="AM14" s="132">
        <v>2100</v>
      </c>
      <c r="AN14" s="132"/>
      <c r="AO14" s="132"/>
      <c r="AP14" s="132">
        <v>6500</v>
      </c>
      <c r="AQ14" s="90"/>
      <c r="AR14" s="123" t="s">
        <v>978</v>
      </c>
      <c r="AS14" s="123" t="s">
        <v>455</v>
      </c>
      <c r="AT14" s="123" t="s">
        <v>979</v>
      </c>
      <c r="AU14" s="123" t="s">
        <v>980</v>
      </c>
      <c r="AV14" s="600"/>
      <c r="AW14" s="840"/>
      <c r="AX14" s="840"/>
      <c r="AY14" s="840"/>
      <c r="AZ14" s="840"/>
      <c r="BA14" s="529"/>
      <c r="BB14" s="600"/>
      <c r="BC14" s="600"/>
      <c r="BD14" s="600"/>
      <c r="BE14" s="529"/>
      <c r="BF14" s="529"/>
      <c r="BG14" s="529"/>
      <c r="BH14" s="873"/>
      <c r="BI14" s="600"/>
      <c r="BJ14" s="201"/>
      <c r="BK14" s="201"/>
      <c r="BN14" s="7"/>
    </row>
    <row r="15" s="9" customFormat="1" ht="90" customHeight="1" spans="1:66">
      <c r="A15" s="23">
        <f>SUBTOTAL(3,C$9:C15)</f>
        <v>7</v>
      </c>
      <c r="B15" s="60" t="s">
        <v>981</v>
      </c>
      <c r="C15" s="59" t="s">
        <v>810</v>
      </c>
      <c r="D15" s="60" t="s">
        <v>982</v>
      </c>
      <c r="E15" s="59" t="s">
        <v>983</v>
      </c>
      <c r="F15" s="59">
        <v>26692</v>
      </c>
      <c r="G15" s="38">
        <v>4000</v>
      </c>
      <c r="H15" s="81" t="s">
        <v>131</v>
      </c>
      <c r="I15" s="67">
        <v>2000</v>
      </c>
      <c r="J15" s="67">
        <v>8000</v>
      </c>
      <c r="K15" s="67">
        <v>14000</v>
      </c>
      <c r="L15" s="38">
        <v>22692</v>
      </c>
      <c r="M15" s="134"/>
      <c r="N15" s="123" t="s">
        <v>984</v>
      </c>
      <c r="O15" s="133"/>
      <c r="P15" s="134"/>
      <c r="Q15" s="134"/>
      <c r="R15" s="134"/>
      <c r="S15" s="134"/>
      <c r="T15" s="134"/>
      <c r="U15" s="134"/>
      <c r="V15" s="134"/>
      <c r="W15" s="134"/>
      <c r="X15" s="90"/>
      <c r="Y15" s="90"/>
      <c r="Z15" s="132">
        <v>15</v>
      </c>
      <c r="AA15" s="132"/>
      <c r="AB15" s="132">
        <v>15</v>
      </c>
      <c r="AC15" s="132"/>
      <c r="AD15" s="132"/>
      <c r="AE15" s="132"/>
      <c r="AF15" s="132"/>
      <c r="AG15" s="132"/>
      <c r="AH15" s="132"/>
      <c r="AI15" s="132">
        <v>3</v>
      </c>
      <c r="AJ15" s="132"/>
      <c r="AK15" s="132">
        <v>3</v>
      </c>
      <c r="AL15" s="132"/>
      <c r="AM15" s="132">
        <v>8106</v>
      </c>
      <c r="AN15" s="595"/>
      <c r="AO15" s="595"/>
      <c r="AP15" s="595"/>
      <c r="AQ15" s="90"/>
      <c r="AR15" s="90" t="s">
        <v>985</v>
      </c>
      <c r="AS15" s="123" t="s">
        <v>455</v>
      </c>
      <c r="AT15" s="123" t="s">
        <v>986</v>
      </c>
      <c r="AU15" s="93" t="s">
        <v>987</v>
      </c>
      <c r="AV15" s="600"/>
      <c r="AW15" s="840"/>
      <c r="AX15" s="840"/>
      <c r="AY15" s="840"/>
      <c r="AZ15" s="840"/>
      <c r="BA15" s="529"/>
      <c r="BB15" s="600"/>
      <c r="BC15" s="600"/>
      <c r="BD15" s="600"/>
      <c r="BE15" s="529"/>
      <c r="BF15" s="529"/>
      <c r="BG15" s="529"/>
      <c r="BH15" s="873"/>
      <c r="BI15" s="600"/>
      <c r="BJ15" s="201"/>
      <c r="BK15" s="201"/>
      <c r="BN15" s="7"/>
    </row>
    <row r="16" ht="69.95" customHeight="1" spans="1:66">
      <c r="A16" s="23">
        <f>SUBTOTAL(3,C$9:C16)</f>
        <v>8</v>
      </c>
      <c r="B16" s="55" t="s">
        <v>988</v>
      </c>
      <c r="C16" s="35" t="s">
        <v>562</v>
      </c>
      <c r="D16" s="55" t="s">
        <v>989</v>
      </c>
      <c r="E16" s="35" t="s">
        <v>575</v>
      </c>
      <c r="F16" s="38">
        <v>5000</v>
      </c>
      <c r="G16" s="38">
        <v>500</v>
      </c>
      <c r="H16" s="83"/>
      <c r="I16" s="67">
        <v>100</v>
      </c>
      <c r="J16" s="67">
        <v>1300</v>
      </c>
      <c r="K16" s="67">
        <v>1371</v>
      </c>
      <c r="L16" s="38">
        <v>1371</v>
      </c>
      <c r="M16" s="67"/>
      <c r="N16" s="123" t="s">
        <v>990</v>
      </c>
      <c r="O16" s="111"/>
      <c r="P16" s="858"/>
      <c r="Q16" s="115"/>
      <c r="R16" s="115"/>
      <c r="S16" s="115"/>
      <c r="T16" s="115"/>
      <c r="U16" s="115"/>
      <c r="V16" s="115"/>
      <c r="W16" s="115"/>
      <c r="X16" s="90"/>
      <c r="Y16" s="90"/>
      <c r="Z16" s="132"/>
      <c r="AA16" s="132"/>
      <c r="AB16" s="132"/>
      <c r="AC16" s="132"/>
      <c r="AD16" s="132"/>
      <c r="AE16" s="132"/>
      <c r="AF16" s="132"/>
      <c r="AG16" s="132"/>
      <c r="AH16" s="132"/>
      <c r="AI16" s="132"/>
      <c r="AJ16" s="132"/>
      <c r="AK16" s="132"/>
      <c r="AL16" s="132">
        <v>1200</v>
      </c>
      <c r="AM16" s="132"/>
      <c r="AN16" s="132"/>
      <c r="AO16" s="132"/>
      <c r="AP16" s="132"/>
      <c r="AQ16" s="90"/>
      <c r="AR16" s="90" t="s">
        <v>117</v>
      </c>
      <c r="AS16" s="123" t="s">
        <v>455</v>
      </c>
      <c r="AT16" s="34" t="s">
        <v>986</v>
      </c>
      <c r="AU16" s="34" t="s">
        <v>991</v>
      </c>
      <c r="AV16" s="201"/>
      <c r="AW16" s="598"/>
      <c r="AX16" s="598"/>
      <c r="AY16" s="840"/>
      <c r="AZ16" s="840"/>
      <c r="BA16" s="530"/>
      <c r="BB16" s="870"/>
      <c r="BC16" s="201"/>
      <c r="BD16" s="201"/>
      <c r="BE16" s="201"/>
      <c r="BF16" s="201"/>
      <c r="BG16" s="201"/>
      <c r="BH16" s="874"/>
      <c r="BI16" s="201"/>
      <c r="BJ16" s="201"/>
      <c r="BK16" s="201"/>
      <c r="BL16" s="201"/>
      <c r="BM16" s="201"/>
      <c r="BN16" s="201"/>
    </row>
    <row r="17" ht="69.95" customHeight="1" spans="1:66">
      <c r="A17" s="23">
        <f>SUBTOTAL(3,C$9:C17)</f>
        <v>9</v>
      </c>
      <c r="B17" s="55" t="s">
        <v>992</v>
      </c>
      <c r="C17" s="35" t="s">
        <v>810</v>
      </c>
      <c r="D17" s="34" t="s">
        <v>993</v>
      </c>
      <c r="E17" s="35" t="s">
        <v>832</v>
      </c>
      <c r="F17" s="38">
        <v>9266</v>
      </c>
      <c r="G17" s="38">
        <v>7710</v>
      </c>
      <c r="H17" s="81" t="s">
        <v>113</v>
      </c>
      <c r="I17" s="37">
        <v>1000</v>
      </c>
      <c r="J17" s="37">
        <v>1556</v>
      </c>
      <c r="K17" s="37">
        <v>1556</v>
      </c>
      <c r="L17" s="38">
        <v>1556</v>
      </c>
      <c r="M17" s="67"/>
      <c r="N17" s="123" t="s">
        <v>971</v>
      </c>
      <c r="O17" s="111"/>
      <c r="P17" s="858"/>
      <c r="Q17" s="115"/>
      <c r="R17" s="115"/>
      <c r="S17" s="115"/>
      <c r="T17" s="115"/>
      <c r="U17" s="115"/>
      <c r="V17" s="115"/>
      <c r="W17" s="115"/>
      <c r="X17" s="90"/>
      <c r="Y17" s="90"/>
      <c r="Z17" s="132"/>
      <c r="AA17" s="132"/>
      <c r="AB17" s="132"/>
      <c r="AC17" s="132"/>
      <c r="AD17" s="132"/>
      <c r="AE17" s="132"/>
      <c r="AF17" s="132"/>
      <c r="AG17" s="132"/>
      <c r="AH17" s="132"/>
      <c r="AI17" s="132"/>
      <c r="AJ17" s="132"/>
      <c r="AK17" s="132"/>
      <c r="AL17" s="132">
        <v>1721</v>
      </c>
      <c r="AM17" s="132"/>
      <c r="AN17" s="132"/>
      <c r="AO17" s="132"/>
      <c r="AP17" s="132">
        <v>1556</v>
      </c>
      <c r="AQ17" s="90"/>
      <c r="AR17" s="112" t="s">
        <v>117</v>
      </c>
      <c r="AS17" s="123" t="s">
        <v>455</v>
      </c>
      <c r="AT17" s="123" t="s">
        <v>986</v>
      </c>
      <c r="AU17" s="91" t="s">
        <v>994</v>
      </c>
      <c r="AV17" s="201"/>
      <c r="AW17" s="598"/>
      <c r="AX17" s="598"/>
      <c r="AY17" s="840"/>
      <c r="AZ17" s="840"/>
      <c r="BA17" s="530"/>
      <c r="BB17" s="870"/>
      <c r="BC17" s="201"/>
      <c r="BD17" s="201"/>
      <c r="BE17" s="201"/>
      <c r="BF17" s="201"/>
      <c r="BG17" s="201"/>
      <c r="BH17" s="874"/>
      <c r="BI17" s="201"/>
      <c r="BJ17" s="201"/>
      <c r="BK17" s="201"/>
      <c r="BL17" s="201"/>
      <c r="BM17" s="201"/>
      <c r="BN17" s="201"/>
    </row>
    <row r="18" s="9" customFormat="1" ht="69.75" customHeight="1" spans="1:66">
      <c r="A18" s="23">
        <f>SUBTOTAL(3,C$9:C18)</f>
        <v>10</v>
      </c>
      <c r="B18" s="54" t="s">
        <v>995</v>
      </c>
      <c r="C18" s="67" t="s">
        <v>810</v>
      </c>
      <c r="D18" s="123" t="s">
        <v>996</v>
      </c>
      <c r="E18" s="67" t="s">
        <v>812</v>
      </c>
      <c r="F18" s="67">
        <v>4300</v>
      </c>
      <c r="G18" s="67">
        <v>3355</v>
      </c>
      <c r="H18" s="81" t="s">
        <v>131</v>
      </c>
      <c r="I18" s="37">
        <v>600</v>
      </c>
      <c r="J18" s="37">
        <v>945</v>
      </c>
      <c r="K18" s="37">
        <v>945</v>
      </c>
      <c r="L18" s="38">
        <v>945</v>
      </c>
      <c r="M18" s="134"/>
      <c r="N18" s="123" t="s">
        <v>971</v>
      </c>
      <c r="O18" s="133"/>
      <c r="P18" s="134"/>
      <c r="Q18" s="134"/>
      <c r="R18" s="134"/>
      <c r="S18" s="134"/>
      <c r="T18" s="134"/>
      <c r="U18" s="134"/>
      <c r="V18" s="134"/>
      <c r="W18" s="134"/>
      <c r="X18" s="90"/>
      <c r="Y18" s="90"/>
      <c r="Z18" s="132"/>
      <c r="AA18" s="132"/>
      <c r="AB18" s="132"/>
      <c r="AC18" s="132"/>
      <c r="AD18" s="132"/>
      <c r="AE18" s="132"/>
      <c r="AF18" s="132"/>
      <c r="AG18" s="132"/>
      <c r="AH18" s="132"/>
      <c r="AI18" s="132"/>
      <c r="AJ18" s="132"/>
      <c r="AK18" s="132"/>
      <c r="AL18" s="132"/>
      <c r="AM18" s="132">
        <v>1737</v>
      </c>
      <c r="AN18" s="595"/>
      <c r="AO18" s="595"/>
      <c r="AP18" s="595"/>
      <c r="AQ18" s="90"/>
      <c r="AR18" s="112" t="s">
        <v>997</v>
      </c>
      <c r="AS18" s="123" t="s">
        <v>455</v>
      </c>
      <c r="AT18" s="123" t="s">
        <v>986</v>
      </c>
      <c r="AU18" s="93" t="s">
        <v>998</v>
      </c>
      <c r="AV18" s="600"/>
      <c r="AW18" s="840"/>
      <c r="AX18" s="840"/>
      <c r="AY18" s="840"/>
      <c r="AZ18" s="840"/>
      <c r="BA18" s="529"/>
      <c r="BB18" s="600"/>
      <c r="BC18" s="600"/>
      <c r="BD18" s="600"/>
      <c r="BE18" s="529"/>
      <c r="BF18" s="529"/>
      <c r="BG18" s="529"/>
      <c r="BH18" s="873"/>
      <c r="BI18" s="600"/>
      <c r="BJ18" s="201"/>
      <c r="BK18" s="201"/>
      <c r="BN18" s="7"/>
    </row>
    <row r="19" ht="90" customHeight="1" spans="1:47">
      <c r="A19" s="23">
        <f>SUBTOTAL(3,C$9:C19)</f>
        <v>11</v>
      </c>
      <c r="B19" s="55" t="s">
        <v>999</v>
      </c>
      <c r="C19" s="23" t="s">
        <v>79</v>
      </c>
      <c r="D19" s="55" t="s">
        <v>1000</v>
      </c>
      <c r="E19" s="35" t="s">
        <v>112</v>
      </c>
      <c r="F19" s="38">
        <v>61753</v>
      </c>
      <c r="G19" s="38"/>
      <c r="H19" s="81" t="s">
        <v>244</v>
      </c>
      <c r="I19" s="37">
        <v>1000</v>
      </c>
      <c r="J19" s="37">
        <v>3000</v>
      </c>
      <c r="K19" s="37">
        <v>6000</v>
      </c>
      <c r="L19" s="38">
        <v>10000</v>
      </c>
      <c r="M19" s="38"/>
      <c r="N19" s="123" t="s">
        <v>1001</v>
      </c>
      <c r="O19" s="133"/>
      <c r="P19" s="134"/>
      <c r="Q19" s="134"/>
      <c r="R19" s="134"/>
      <c r="S19" s="134"/>
      <c r="T19" s="134"/>
      <c r="U19" s="134"/>
      <c r="V19" s="134"/>
      <c r="W19" s="134"/>
      <c r="X19" s="90"/>
      <c r="Y19" s="90"/>
      <c r="Z19" s="134"/>
      <c r="AA19" s="134"/>
      <c r="AB19" s="134"/>
      <c r="AC19" s="134"/>
      <c r="AD19" s="134"/>
      <c r="AE19" s="134"/>
      <c r="AF19" s="132">
        <v>1386</v>
      </c>
      <c r="AG19" s="132">
        <v>1386</v>
      </c>
      <c r="AH19" s="132"/>
      <c r="AI19" s="132"/>
      <c r="AJ19" s="132"/>
      <c r="AK19" s="595"/>
      <c r="AL19" s="595"/>
      <c r="AM19" s="132">
        <v>3000</v>
      </c>
      <c r="AN19" s="132"/>
      <c r="AO19" s="132">
        <v>2000</v>
      </c>
      <c r="AP19" s="132">
        <v>7000</v>
      </c>
      <c r="AQ19" s="90"/>
      <c r="AR19" s="112" t="s">
        <v>1002</v>
      </c>
      <c r="AS19" s="34" t="s">
        <v>1003</v>
      </c>
      <c r="AT19" s="34" t="s">
        <v>119</v>
      </c>
      <c r="AU19" s="93" t="s">
        <v>1004</v>
      </c>
    </row>
    <row r="20" ht="90" customHeight="1" spans="1:47">
      <c r="A20" s="23">
        <f>SUBTOTAL(3,C$9:C20)</f>
        <v>12</v>
      </c>
      <c r="B20" s="60" t="s">
        <v>1005</v>
      </c>
      <c r="C20" s="35" t="s">
        <v>79</v>
      </c>
      <c r="D20" s="55" t="s">
        <v>1006</v>
      </c>
      <c r="E20" s="35" t="s">
        <v>112</v>
      </c>
      <c r="F20" s="35">
        <v>8621</v>
      </c>
      <c r="G20" s="23"/>
      <c r="H20" s="851" t="s">
        <v>263</v>
      </c>
      <c r="I20" s="23"/>
      <c r="J20" s="60"/>
      <c r="K20" s="59">
        <v>500</v>
      </c>
      <c r="L20" s="59">
        <v>1000</v>
      </c>
      <c r="M20" s="23"/>
      <c r="N20" s="55" t="s">
        <v>1007</v>
      </c>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551">
        <v>1000</v>
      </c>
      <c r="AN20" s="551"/>
      <c r="AO20" s="551"/>
      <c r="AP20" s="551"/>
      <c r="AQ20" s="23"/>
      <c r="AR20" s="66" t="s">
        <v>1008</v>
      </c>
      <c r="AS20" s="66" t="s">
        <v>172</v>
      </c>
      <c r="AT20" s="123" t="s">
        <v>166</v>
      </c>
      <c r="AU20" s="93" t="s">
        <v>1009</v>
      </c>
    </row>
    <row r="21" s="7" customFormat="1" ht="80.1" customHeight="1" spans="1:63">
      <c r="A21" s="23">
        <f>SUBTOTAL(3,C$9:C21)</f>
        <v>13</v>
      </c>
      <c r="B21" s="60" t="s">
        <v>1010</v>
      </c>
      <c r="C21" s="35" t="s">
        <v>79</v>
      </c>
      <c r="D21" s="58" t="s">
        <v>1011</v>
      </c>
      <c r="E21" s="23">
        <v>2019</v>
      </c>
      <c r="F21" s="67">
        <v>1127</v>
      </c>
      <c r="G21" s="67"/>
      <c r="H21" s="111" t="s">
        <v>177</v>
      </c>
      <c r="I21" s="67"/>
      <c r="J21" s="67">
        <v>1127</v>
      </c>
      <c r="K21" s="67">
        <v>1127</v>
      </c>
      <c r="L21" s="67">
        <v>1127</v>
      </c>
      <c r="M21" s="67"/>
      <c r="N21" s="123" t="s">
        <v>1012</v>
      </c>
      <c r="O21" s="111"/>
      <c r="P21" s="67"/>
      <c r="Q21" s="67"/>
      <c r="R21" s="67"/>
      <c r="S21" s="67"/>
      <c r="T21" s="67"/>
      <c r="U21" s="67"/>
      <c r="V21" s="67"/>
      <c r="W21" s="67"/>
      <c r="X21" s="90"/>
      <c r="Y21" s="90"/>
      <c r="Z21" s="595"/>
      <c r="AA21" s="595"/>
      <c r="AB21" s="595"/>
      <c r="AC21" s="595"/>
      <c r="AD21" s="595"/>
      <c r="AE21" s="595"/>
      <c r="AF21" s="595"/>
      <c r="AG21" s="595"/>
      <c r="AH21" s="595"/>
      <c r="AI21" s="595"/>
      <c r="AJ21" s="595"/>
      <c r="AK21" s="595"/>
      <c r="AL21" s="595"/>
      <c r="AM21" s="132">
        <v>1500</v>
      </c>
      <c r="AN21" s="132"/>
      <c r="AO21" s="132"/>
      <c r="AP21" s="132">
        <v>127</v>
      </c>
      <c r="AQ21" s="90"/>
      <c r="AR21" s="112"/>
      <c r="AS21" s="66" t="s">
        <v>172</v>
      </c>
      <c r="AT21" s="123" t="s">
        <v>166</v>
      </c>
      <c r="AU21" s="93" t="s">
        <v>1009</v>
      </c>
      <c r="AV21" s="659"/>
      <c r="AW21" s="841"/>
      <c r="AX21" s="841"/>
      <c r="AY21" s="841"/>
      <c r="AZ21" s="841"/>
      <c r="BA21" s="871"/>
      <c r="BB21" s="659"/>
      <c r="BC21" s="659"/>
      <c r="BD21" s="659"/>
      <c r="BE21" s="871"/>
      <c r="BF21" s="871"/>
      <c r="BG21" s="871"/>
      <c r="BH21" s="875"/>
      <c r="BI21" s="659"/>
      <c r="BJ21" s="659"/>
      <c r="BK21" s="659"/>
    </row>
    <row r="22" s="9" customFormat="1" ht="74.25" customHeight="1" spans="1:66">
      <c r="A22" s="23">
        <f>SUBTOTAL(3,C$9:C22)</f>
        <v>14</v>
      </c>
      <c r="B22" s="55" t="s">
        <v>1013</v>
      </c>
      <c r="C22" s="35" t="s">
        <v>810</v>
      </c>
      <c r="D22" s="58" t="s">
        <v>1014</v>
      </c>
      <c r="E22" s="35" t="s">
        <v>832</v>
      </c>
      <c r="F22" s="852">
        <v>74000</v>
      </c>
      <c r="G22" s="36">
        <v>64000</v>
      </c>
      <c r="H22" s="81" t="s">
        <v>82</v>
      </c>
      <c r="I22" s="37">
        <v>3000</v>
      </c>
      <c r="J22" s="37">
        <v>5300</v>
      </c>
      <c r="K22" s="37">
        <v>7600</v>
      </c>
      <c r="L22" s="36">
        <v>10000</v>
      </c>
      <c r="M22" s="134"/>
      <c r="N22" s="123" t="s">
        <v>971</v>
      </c>
      <c r="O22" s="133"/>
      <c r="P22" s="134"/>
      <c r="Q22" s="134"/>
      <c r="R22" s="134"/>
      <c r="S22" s="134"/>
      <c r="T22" s="134"/>
      <c r="U22" s="134"/>
      <c r="V22" s="134"/>
      <c r="W22" s="134"/>
      <c r="X22" s="90"/>
      <c r="Y22" s="90"/>
      <c r="Z22" s="861">
        <v>1145</v>
      </c>
      <c r="AA22" s="861">
        <v>1145</v>
      </c>
      <c r="AB22" s="861"/>
      <c r="AC22" s="861">
        <v>190</v>
      </c>
      <c r="AD22" s="861"/>
      <c r="AE22" s="861">
        <v>190</v>
      </c>
      <c r="AF22" s="861">
        <v>150</v>
      </c>
      <c r="AG22" s="861"/>
      <c r="AH22" s="861">
        <v>150</v>
      </c>
      <c r="AI22" s="861"/>
      <c r="AJ22" s="861"/>
      <c r="AK22" s="861"/>
      <c r="AL22" s="595"/>
      <c r="AM22" s="862">
        <v>13800</v>
      </c>
      <c r="AN22" s="862"/>
      <c r="AO22" s="862">
        <v>10000</v>
      </c>
      <c r="AP22" s="76"/>
      <c r="AQ22" s="90"/>
      <c r="AR22" s="868" t="s">
        <v>1015</v>
      </c>
      <c r="AS22" s="123" t="s">
        <v>766</v>
      </c>
      <c r="AT22" s="123" t="s">
        <v>185</v>
      </c>
      <c r="AU22" s="91" t="s">
        <v>1016</v>
      </c>
      <c r="AV22" s="600"/>
      <c r="AW22" s="840"/>
      <c r="AX22" s="840"/>
      <c r="AY22" s="840"/>
      <c r="AZ22" s="840"/>
      <c r="BA22" s="529"/>
      <c r="BB22" s="600"/>
      <c r="BC22" s="600"/>
      <c r="BD22" s="600"/>
      <c r="BE22" s="529"/>
      <c r="BF22" s="529"/>
      <c r="BG22" s="529"/>
      <c r="BH22" s="873"/>
      <c r="BI22" s="600"/>
      <c r="BJ22" s="201"/>
      <c r="BK22" s="201"/>
      <c r="BN22" s="7"/>
    </row>
    <row r="23" s="9" customFormat="1" ht="80.1" customHeight="1" spans="1:66">
      <c r="A23" s="23">
        <f>SUBTOTAL(3,C$9:C23)</f>
        <v>15</v>
      </c>
      <c r="B23" s="55" t="s">
        <v>1017</v>
      </c>
      <c r="C23" s="35" t="s">
        <v>810</v>
      </c>
      <c r="D23" s="58" t="s">
        <v>1018</v>
      </c>
      <c r="E23" s="35" t="s">
        <v>832</v>
      </c>
      <c r="F23" s="35">
        <v>40000</v>
      </c>
      <c r="G23" s="38">
        <v>26000</v>
      </c>
      <c r="H23" s="81" t="s">
        <v>82</v>
      </c>
      <c r="I23" s="859">
        <v>3000</v>
      </c>
      <c r="J23" s="859">
        <v>6000</v>
      </c>
      <c r="K23" s="859">
        <v>10000</v>
      </c>
      <c r="L23" s="38">
        <v>14000</v>
      </c>
      <c r="M23" s="134"/>
      <c r="N23" s="123" t="s">
        <v>971</v>
      </c>
      <c r="O23" s="133"/>
      <c r="P23" s="134"/>
      <c r="Q23" s="134"/>
      <c r="R23" s="134"/>
      <c r="S23" s="134"/>
      <c r="T23" s="134"/>
      <c r="U23" s="134"/>
      <c r="V23" s="134"/>
      <c r="W23" s="134"/>
      <c r="X23" s="90"/>
      <c r="Y23" s="90"/>
      <c r="Z23" s="861">
        <v>70</v>
      </c>
      <c r="AA23" s="861">
        <v>70</v>
      </c>
      <c r="AB23" s="861"/>
      <c r="AC23" s="861"/>
      <c r="AD23" s="861"/>
      <c r="AE23" s="861"/>
      <c r="AF23" s="861"/>
      <c r="AG23" s="861"/>
      <c r="AH23" s="861"/>
      <c r="AI23" s="861">
        <v>70</v>
      </c>
      <c r="AJ23" s="861">
        <v>70</v>
      </c>
      <c r="AK23" s="861"/>
      <c r="AL23" s="863">
        <v>3189</v>
      </c>
      <c r="AM23" s="595"/>
      <c r="AN23" s="595"/>
      <c r="AO23" s="115">
        <v>14000</v>
      </c>
      <c r="AP23" s="595"/>
      <c r="AQ23" s="90"/>
      <c r="AR23" s="112" t="s">
        <v>1019</v>
      </c>
      <c r="AS23" s="123" t="s">
        <v>766</v>
      </c>
      <c r="AT23" s="123" t="s">
        <v>185</v>
      </c>
      <c r="AU23" s="91" t="s">
        <v>1020</v>
      </c>
      <c r="AV23" s="600"/>
      <c r="AW23" s="840"/>
      <c r="AX23" s="840"/>
      <c r="AY23" s="840"/>
      <c r="AZ23" s="840"/>
      <c r="BA23" s="529"/>
      <c r="BB23" s="600"/>
      <c r="BC23" s="600"/>
      <c r="BD23" s="600"/>
      <c r="BE23" s="529"/>
      <c r="BF23" s="529"/>
      <c r="BG23" s="529"/>
      <c r="BH23" s="873"/>
      <c r="BI23" s="600"/>
      <c r="BJ23" s="201"/>
      <c r="BK23" s="201"/>
      <c r="BN23" s="7"/>
    </row>
    <row r="24" s="9" customFormat="1" ht="80.1" customHeight="1" spans="1:66">
      <c r="A24" s="23">
        <f>SUBTOTAL(3,C$9:C24)</f>
        <v>16</v>
      </c>
      <c r="B24" s="55" t="s">
        <v>1021</v>
      </c>
      <c r="C24" s="35" t="s">
        <v>810</v>
      </c>
      <c r="D24" s="34" t="s">
        <v>1022</v>
      </c>
      <c r="E24" s="35" t="s">
        <v>832</v>
      </c>
      <c r="F24" s="36">
        <v>10300</v>
      </c>
      <c r="G24" s="156">
        <v>9300</v>
      </c>
      <c r="H24" s="156" t="s">
        <v>131</v>
      </c>
      <c r="I24" s="156">
        <v>400</v>
      </c>
      <c r="J24" s="156">
        <v>750</v>
      </c>
      <c r="K24" s="36">
        <v>800</v>
      </c>
      <c r="L24" s="36">
        <v>1000</v>
      </c>
      <c r="M24" s="134"/>
      <c r="N24" s="123" t="s">
        <v>971</v>
      </c>
      <c r="O24" s="133"/>
      <c r="P24" s="134"/>
      <c r="Q24" s="134"/>
      <c r="R24" s="134"/>
      <c r="S24" s="134"/>
      <c r="T24" s="134"/>
      <c r="U24" s="134"/>
      <c r="V24" s="134"/>
      <c r="W24" s="134"/>
      <c r="X24" s="90"/>
      <c r="Y24" s="90"/>
      <c r="Z24" s="115">
        <v>8.4</v>
      </c>
      <c r="AA24" s="115"/>
      <c r="AB24" s="115">
        <v>8.4</v>
      </c>
      <c r="AC24" s="115"/>
      <c r="AD24" s="115"/>
      <c r="AE24" s="115"/>
      <c r="AF24" s="115"/>
      <c r="AG24" s="115"/>
      <c r="AH24" s="115"/>
      <c r="AI24" s="115"/>
      <c r="AJ24" s="115"/>
      <c r="AK24" s="115"/>
      <c r="AL24" s="132">
        <v>2250</v>
      </c>
      <c r="AM24" s="595"/>
      <c r="AN24" s="595"/>
      <c r="AO24" s="595"/>
      <c r="AP24" s="99">
        <v>1000</v>
      </c>
      <c r="AQ24" s="90"/>
      <c r="AR24" s="112" t="s">
        <v>117</v>
      </c>
      <c r="AS24" s="595" t="s">
        <v>591</v>
      </c>
      <c r="AT24" s="123" t="s">
        <v>185</v>
      </c>
      <c r="AU24" s="91" t="s">
        <v>1023</v>
      </c>
      <c r="AV24" s="600"/>
      <c r="AW24" s="840"/>
      <c r="AX24" s="840"/>
      <c r="AY24" s="840"/>
      <c r="AZ24" s="840"/>
      <c r="BA24" s="529"/>
      <c r="BB24" s="600"/>
      <c r="BC24" s="600"/>
      <c r="BD24" s="600"/>
      <c r="BE24" s="529"/>
      <c r="BF24" s="529"/>
      <c r="BG24" s="529"/>
      <c r="BH24" s="873"/>
      <c r="BI24" s="600"/>
      <c r="BJ24" s="201"/>
      <c r="BK24" s="201"/>
      <c r="BN24" s="7"/>
    </row>
    <row r="25" s="9" customFormat="1" ht="69.95" customHeight="1" spans="1:66">
      <c r="A25" s="23">
        <f>SUBTOTAL(3,C$9:C25)</f>
        <v>17</v>
      </c>
      <c r="B25" s="54" t="s">
        <v>1024</v>
      </c>
      <c r="C25" s="67" t="s">
        <v>562</v>
      </c>
      <c r="D25" s="54" t="s">
        <v>1025</v>
      </c>
      <c r="E25" s="67" t="s">
        <v>1026</v>
      </c>
      <c r="F25" s="67">
        <v>15110</v>
      </c>
      <c r="G25" s="67">
        <v>4256</v>
      </c>
      <c r="H25" s="134"/>
      <c r="I25" s="67">
        <v>500</v>
      </c>
      <c r="J25" s="67">
        <v>1000</v>
      </c>
      <c r="K25" s="67">
        <v>1500</v>
      </c>
      <c r="L25" s="67">
        <v>2000</v>
      </c>
      <c r="M25" s="134"/>
      <c r="N25" s="123" t="s">
        <v>1027</v>
      </c>
      <c r="O25" s="133"/>
      <c r="P25" s="134"/>
      <c r="Q25" s="134"/>
      <c r="R25" s="134"/>
      <c r="S25" s="134"/>
      <c r="T25" s="134"/>
      <c r="U25" s="134"/>
      <c r="V25" s="134"/>
      <c r="W25" s="134"/>
      <c r="X25" s="90"/>
      <c r="Y25" s="90"/>
      <c r="Z25" s="134">
        <v>259</v>
      </c>
      <c r="AA25" s="134">
        <v>151</v>
      </c>
      <c r="AB25" s="134">
        <v>107.57</v>
      </c>
      <c r="AC25" s="134"/>
      <c r="AD25" s="134"/>
      <c r="AE25" s="134"/>
      <c r="AF25" s="134"/>
      <c r="AG25" s="134"/>
      <c r="AH25" s="134"/>
      <c r="AI25" s="134">
        <v>300</v>
      </c>
      <c r="AJ25" s="134">
        <v>200</v>
      </c>
      <c r="AK25" s="134">
        <v>100</v>
      </c>
      <c r="AL25" s="132">
        <v>2000</v>
      </c>
      <c r="AM25" s="770"/>
      <c r="AN25" s="770"/>
      <c r="AO25" s="134">
        <v>4256</v>
      </c>
      <c r="AP25" s="132">
        <v>2000</v>
      </c>
      <c r="AQ25" s="90"/>
      <c r="AR25" s="90" t="s">
        <v>1028</v>
      </c>
      <c r="AS25" s="123" t="s">
        <v>455</v>
      </c>
      <c r="AT25" s="123" t="s">
        <v>240</v>
      </c>
      <c r="AU25" s="91" t="s">
        <v>1029</v>
      </c>
      <c r="AV25" s="600"/>
      <c r="AW25" s="840"/>
      <c r="AX25" s="840"/>
      <c r="AY25" s="840"/>
      <c r="AZ25" s="840"/>
      <c r="BA25" s="529"/>
      <c r="BB25" s="600"/>
      <c r="BC25" s="600"/>
      <c r="BD25" s="600"/>
      <c r="BE25" s="529"/>
      <c r="BF25" s="529"/>
      <c r="BG25" s="529"/>
      <c r="BH25" s="873"/>
      <c r="BI25" s="600"/>
      <c r="BJ25" s="201"/>
      <c r="BK25" s="201"/>
      <c r="BN25" s="7"/>
    </row>
    <row r="26" s="9" customFormat="1" ht="69.95" customHeight="1" spans="1:66">
      <c r="A26" s="23">
        <f>SUBTOTAL(3,C$9:C26)</f>
        <v>18</v>
      </c>
      <c r="B26" s="54" t="s">
        <v>1030</v>
      </c>
      <c r="C26" s="67" t="s">
        <v>810</v>
      </c>
      <c r="D26" s="123" t="s">
        <v>1031</v>
      </c>
      <c r="E26" s="67" t="s">
        <v>1032</v>
      </c>
      <c r="F26" s="67">
        <v>14600</v>
      </c>
      <c r="G26" s="67">
        <v>12700</v>
      </c>
      <c r="H26" s="81" t="s">
        <v>131</v>
      </c>
      <c r="I26" s="37">
        <v>500</v>
      </c>
      <c r="J26" s="37">
        <v>1000</v>
      </c>
      <c r="K26" s="37">
        <v>1500</v>
      </c>
      <c r="L26" s="38">
        <v>1900</v>
      </c>
      <c r="M26" s="134"/>
      <c r="N26" s="123" t="s">
        <v>1033</v>
      </c>
      <c r="O26" s="133"/>
      <c r="P26" s="134"/>
      <c r="Q26" s="134"/>
      <c r="R26" s="134"/>
      <c r="S26" s="134"/>
      <c r="T26" s="134"/>
      <c r="U26" s="134"/>
      <c r="V26" s="134"/>
      <c r="W26" s="134"/>
      <c r="X26" s="90"/>
      <c r="Y26" s="90"/>
      <c r="Z26" s="132">
        <v>69.65</v>
      </c>
      <c r="AA26" s="551"/>
      <c r="AB26" s="551">
        <v>70</v>
      </c>
      <c r="AC26" s="134">
        <v>13.527</v>
      </c>
      <c r="AD26" s="134">
        <v>13.527</v>
      </c>
      <c r="AE26" s="134"/>
      <c r="AF26" s="134"/>
      <c r="AG26" s="134"/>
      <c r="AH26" s="134"/>
      <c r="AI26" s="134">
        <v>300</v>
      </c>
      <c r="AJ26" s="134">
        <v>290</v>
      </c>
      <c r="AK26" s="134">
        <v>10</v>
      </c>
      <c r="AL26" s="132">
        <v>1000</v>
      </c>
      <c r="AM26" s="595"/>
      <c r="AN26" s="595"/>
      <c r="AO26" s="67"/>
      <c r="AP26" s="551">
        <v>1500</v>
      </c>
      <c r="AQ26" s="90"/>
      <c r="AR26" s="123" t="s">
        <v>1034</v>
      </c>
      <c r="AS26" s="123" t="s">
        <v>455</v>
      </c>
      <c r="AT26" s="123" t="s">
        <v>240</v>
      </c>
      <c r="AU26" s="91" t="s">
        <v>1035</v>
      </c>
      <c r="AV26" s="600"/>
      <c r="AW26" s="840"/>
      <c r="AX26" s="840"/>
      <c r="AY26" s="840"/>
      <c r="AZ26" s="840"/>
      <c r="BA26" s="529"/>
      <c r="BB26" s="600"/>
      <c r="BC26" s="600"/>
      <c r="BD26" s="600"/>
      <c r="BE26" s="529"/>
      <c r="BF26" s="529"/>
      <c r="BG26" s="529"/>
      <c r="BH26" s="873"/>
      <c r="BI26" s="600"/>
      <c r="BJ26" s="201"/>
      <c r="BK26" s="201"/>
      <c r="BN26" s="7"/>
    </row>
    <row r="27" ht="74.25" customHeight="1" spans="1:66">
      <c r="A27" s="23">
        <f>SUBTOTAL(3,C$9:C27)</f>
        <v>19</v>
      </c>
      <c r="B27" s="561" t="s">
        <v>1036</v>
      </c>
      <c r="C27" s="76" t="s">
        <v>562</v>
      </c>
      <c r="D27" s="55" t="s">
        <v>1037</v>
      </c>
      <c r="E27" s="77" t="s">
        <v>1038</v>
      </c>
      <c r="F27" s="38">
        <v>30436.85</v>
      </c>
      <c r="G27" s="36">
        <v>25194</v>
      </c>
      <c r="H27" s="83"/>
      <c r="I27" s="67">
        <v>600</v>
      </c>
      <c r="J27" s="67">
        <v>1000</v>
      </c>
      <c r="K27" s="67">
        <v>1800</v>
      </c>
      <c r="L27" s="36">
        <v>2000</v>
      </c>
      <c r="M27" s="67"/>
      <c r="N27" s="123" t="s">
        <v>1039</v>
      </c>
      <c r="O27" s="111"/>
      <c r="P27" s="858"/>
      <c r="Q27" s="115"/>
      <c r="R27" s="115"/>
      <c r="S27" s="115"/>
      <c r="T27" s="115"/>
      <c r="U27" s="115"/>
      <c r="V27" s="115"/>
      <c r="W27" s="115"/>
      <c r="X27" s="90"/>
      <c r="Y27" s="90"/>
      <c r="Z27" s="115">
        <v>219.3</v>
      </c>
      <c r="AA27" s="115">
        <v>219.3</v>
      </c>
      <c r="AB27" s="132"/>
      <c r="AC27" s="115"/>
      <c r="AD27" s="115"/>
      <c r="AE27" s="132"/>
      <c r="AF27" s="115"/>
      <c r="AG27" s="115"/>
      <c r="AH27" s="115"/>
      <c r="AI27" s="115"/>
      <c r="AJ27" s="115"/>
      <c r="AK27" s="115"/>
      <c r="AL27" s="132">
        <v>4000</v>
      </c>
      <c r="AM27" s="132"/>
      <c r="AN27" s="132"/>
      <c r="AO27" s="132"/>
      <c r="AP27" s="132"/>
      <c r="AQ27" s="90"/>
      <c r="AR27" s="90" t="s">
        <v>117</v>
      </c>
      <c r="AS27" s="34" t="s">
        <v>1040</v>
      </c>
      <c r="AT27" s="34" t="s">
        <v>498</v>
      </c>
      <c r="AU27" s="34" t="s">
        <v>1041</v>
      </c>
      <c r="AV27" s="201"/>
      <c r="AW27" s="598"/>
      <c r="AX27" s="598"/>
      <c r="AY27" s="840"/>
      <c r="AZ27" s="840"/>
      <c r="BA27" s="530"/>
      <c r="BB27" s="870"/>
      <c r="BC27" s="201"/>
      <c r="BD27" s="201"/>
      <c r="BE27" s="201"/>
      <c r="BF27" s="201"/>
      <c r="BG27" s="201"/>
      <c r="BH27" s="874"/>
      <c r="BI27" s="201"/>
      <c r="BJ27" s="201"/>
      <c r="BK27" s="201"/>
      <c r="BL27" s="201"/>
      <c r="BM27" s="201"/>
      <c r="BN27" s="201"/>
    </row>
    <row r="28" ht="80.1" customHeight="1" spans="1:66">
      <c r="A28" s="23">
        <f>SUBTOTAL(3,C$9:C28)</f>
        <v>20</v>
      </c>
      <c r="B28" s="853" t="s">
        <v>1042</v>
      </c>
      <c r="C28" s="76" t="s">
        <v>562</v>
      </c>
      <c r="D28" s="853" t="s">
        <v>1043</v>
      </c>
      <c r="E28" s="78" t="s">
        <v>627</v>
      </c>
      <c r="F28" s="38">
        <v>20000</v>
      </c>
      <c r="G28" s="38">
        <v>13566</v>
      </c>
      <c r="H28" s="83"/>
      <c r="I28" s="67">
        <v>300</v>
      </c>
      <c r="J28" s="67">
        <v>1200</v>
      </c>
      <c r="K28" s="67">
        <v>2100</v>
      </c>
      <c r="L28" s="38">
        <v>3030</v>
      </c>
      <c r="M28" s="67"/>
      <c r="N28" s="123" t="s">
        <v>1044</v>
      </c>
      <c r="O28" s="111"/>
      <c r="P28" s="858"/>
      <c r="Q28" s="115"/>
      <c r="R28" s="115"/>
      <c r="S28" s="115"/>
      <c r="T28" s="115"/>
      <c r="U28" s="115"/>
      <c r="V28" s="115"/>
      <c r="W28" s="115"/>
      <c r="X28" s="90"/>
      <c r="Y28" s="90"/>
      <c r="Z28" s="132">
        <v>111.4</v>
      </c>
      <c r="AA28" s="132">
        <v>106.1625</v>
      </c>
      <c r="AB28" s="132">
        <v>5.2375</v>
      </c>
      <c r="AC28" s="132">
        <v>32.697</v>
      </c>
      <c r="AD28" s="132">
        <v>32.697</v>
      </c>
      <c r="AE28" s="132"/>
      <c r="AF28" s="132"/>
      <c r="AG28" s="132"/>
      <c r="AH28" s="132"/>
      <c r="AI28" s="132">
        <v>55</v>
      </c>
      <c r="AJ28" s="132"/>
      <c r="AK28" s="132">
        <v>55</v>
      </c>
      <c r="AL28" s="132">
        <v>3000</v>
      </c>
      <c r="AM28" s="132"/>
      <c r="AN28" s="132"/>
      <c r="AO28" s="132"/>
      <c r="AP28" s="132"/>
      <c r="AQ28" s="90"/>
      <c r="AR28" s="90" t="s">
        <v>1045</v>
      </c>
      <c r="AS28" s="34" t="s">
        <v>1040</v>
      </c>
      <c r="AT28" s="34" t="s">
        <v>498</v>
      </c>
      <c r="AU28" s="34" t="s">
        <v>1046</v>
      </c>
      <c r="AV28" s="201"/>
      <c r="AW28" s="598"/>
      <c r="AX28" s="598"/>
      <c r="AY28" s="840"/>
      <c r="AZ28" s="840"/>
      <c r="BA28" s="530"/>
      <c r="BB28" s="870"/>
      <c r="BC28" s="201"/>
      <c r="BD28" s="201"/>
      <c r="BE28" s="201"/>
      <c r="BF28" s="201"/>
      <c r="BG28" s="201"/>
      <c r="BH28" s="874"/>
      <c r="BI28" s="201"/>
      <c r="BJ28" s="201"/>
      <c r="BK28" s="201"/>
      <c r="BL28" s="201"/>
      <c r="BM28" s="201"/>
      <c r="BN28" s="201"/>
    </row>
    <row r="29" ht="54" customHeight="1" spans="1:66">
      <c r="A29" s="23">
        <f>SUBTOTAL(3,C$9:C29)</f>
        <v>21</v>
      </c>
      <c r="B29" s="55" t="s">
        <v>1047</v>
      </c>
      <c r="C29" s="76" t="s">
        <v>562</v>
      </c>
      <c r="D29" s="55" t="s">
        <v>1048</v>
      </c>
      <c r="E29" s="693" t="s">
        <v>1049</v>
      </c>
      <c r="F29" s="38">
        <v>9088</v>
      </c>
      <c r="G29" s="38">
        <v>5794</v>
      </c>
      <c r="H29" s="83"/>
      <c r="I29" s="67">
        <v>50</v>
      </c>
      <c r="J29" s="67">
        <v>550</v>
      </c>
      <c r="K29" s="67">
        <v>670</v>
      </c>
      <c r="L29" s="36">
        <v>670</v>
      </c>
      <c r="M29" s="67"/>
      <c r="N29" s="123" t="s">
        <v>1050</v>
      </c>
      <c r="O29" s="111"/>
      <c r="P29" s="858"/>
      <c r="Q29" s="115"/>
      <c r="R29" s="115"/>
      <c r="S29" s="115"/>
      <c r="T29" s="115"/>
      <c r="U29" s="115"/>
      <c r="V29" s="115"/>
      <c r="W29" s="115"/>
      <c r="X29" s="90"/>
      <c r="Y29" s="90"/>
      <c r="Z29" s="132">
        <v>98</v>
      </c>
      <c r="AA29" s="132">
        <v>98</v>
      </c>
      <c r="AB29" s="132"/>
      <c r="AC29" s="132">
        <v>13.7205</v>
      </c>
      <c r="AD29" s="132">
        <v>13.7205</v>
      </c>
      <c r="AE29" s="132"/>
      <c r="AF29" s="132"/>
      <c r="AG29" s="132"/>
      <c r="AH29" s="132"/>
      <c r="AI29" s="132"/>
      <c r="AJ29" s="132"/>
      <c r="AK29" s="132"/>
      <c r="AL29" s="132">
        <v>2300</v>
      </c>
      <c r="AM29" s="132"/>
      <c r="AN29" s="132"/>
      <c r="AO29" s="132"/>
      <c r="AP29" s="132"/>
      <c r="AQ29" s="90"/>
      <c r="AR29" s="90" t="s">
        <v>1045</v>
      </c>
      <c r="AS29" s="34" t="s">
        <v>1040</v>
      </c>
      <c r="AT29" s="34" t="s">
        <v>498</v>
      </c>
      <c r="AU29" s="34" t="s">
        <v>1051</v>
      </c>
      <c r="AV29" s="201"/>
      <c r="AW29" s="598"/>
      <c r="AX29" s="598"/>
      <c r="AY29" s="840"/>
      <c r="AZ29" s="840"/>
      <c r="BA29" s="530"/>
      <c r="BB29" s="870"/>
      <c r="BC29" s="201"/>
      <c r="BD29" s="201"/>
      <c r="BE29" s="201"/>
      <c r="BF29" s="201"/>
      <c r="BG29" s="201"/>
      <c r="BH29" s="874"/>
      <c r="BI29" s="201"/>
      <c r="BJ29" s="201"/>
      <c r="BK29" s="201"/>
      <c r="BL29" s="201"/>
      <c r="BM29" s="201"/>
      <c r="BN29" s="201"/>
    </row>
    <row r="30" ht="54.95" customHeight="1" spans="1:66">
      <c r="A30" s="23">
        <f>SUBTOTAL(3,C$9:C30)</f>
        <v>22</v>
      </c>
      <c r="B30" s="88" t="s">
        <v>1052</v>
      </c>
      <c r="C30" s="76" t="s">
        <v>562</v>
      </c>
      <c r="D30" s="55" t="s">
        <v>1053</v>
      </c>
      <c r="E30" s="35" t="s">
        <v>627</v>
      </c>
      <c r="F30" s="36">
        <v>3000</v>
      </c>
      <c r="G30" s="36">
        <v>933</v>
      </c>
      <c r="H30" s="83"/>
      <c r="I30" s="35">
        <v>150</v>
      </c>
      <c r="J30" s="35">
        <v>300</v>
      </c>
      <c r="K30" s="35">
        <v>800</v>
      </c>
      <c r="L30" s="36">
        <v>1433</v>
      </c>
      <c r="M30" s="67"/>
      <c r="N30" s="34" t="s">
        <v>1054</v>
      </c>
      <c r="O30" s="111"/>
      <c r="P30" s="858"/>
      <c r="Q30" s="115"/>
      <c r="R30" s="115"/>
      <c r="S30" s="115"/>
      <c r="T30" s="115"/>
      <c r="U30" s="115"/>
      <c r="V30" s="115"/>
      <c r="W30" s="115"/>
      <c r="X30" s="90"/>
      <c r="Y30" s="90"/>
      <c r="Z30" s="132">
        <v>122.01</v>
      </c>
      <c r="AA30" s="132"/>
      <c r="AB30" s="132">
        <v>122.01</v>
      </c>
      <c r="AC30" s="132"/>
      <c r="AD30" s="132"/>
      <c r="AE30" s="132"/>
      <c r="AF30" s="132"/>
      <c r="AG30" s="132"/>
      <c r="AH30" s="132"/>
      <c r="AI30" s="132">
        <v>31</v>
      </c>
      <c r="AJ30" s="132"/>
      <c r="AK30" s="132">
        <v>31</v>
      </c>
      <c r="AL30" s="132">
        <v>500</v>
      </c>
      <c r="AM30" s="132"/>
      <c r="AN30" s="132"/>
      <c r="AO30" s="132"/>
      <c r="AP30" s="132"/>
      <c r="AQ30" s="90"/>
      <c r="AR30" s="88" t="s">
        <v>1055</v>
      </c>
      <c r="AS30" s="34" t="s">
        <v>1040</v>
      </c>
      <c r="AT30" s="34" t="s">
        <v>498</v>
      </c>
      <c r="AU30" s="34" t="s">
        <v>1056</v>
      </c>
      <c r="AV30" s="201"/>
      <c r="AW30" s="598"/>
      <c r="AX30" s="598"/>
      <c r="AY30" s="840"/>
      <c r="AZ30" s="840"/>
      <c r="BA30" s="530"/>
      <c r="BB30" s="870"/>
      <c r="BC30" s="201"/>
      <c r="BD30" s="201"/>
      <c r="BE30" s="201"/>
      <c r="BF30" s="201"/>
      <c r="BG30" s="201"/>
      <c r="BH30" s="874"/>
      <c r="BI30" s="201"/>
      <c r="BJ30" s="201"/>
      <c r="BK30" s="201"/>
      <c r="BL30" s="201"/>
      <c r="BM30" s="201"/>
      <c r="BN30" s="201"/>
    </row>
    <row r="31" ht="63" customHeight="1" spans="1:66">
      <c r="A31" s="23">
        <f>SUBTOTAL(3,C$9:C31)</f>
        <v>23</v>
      </c>
      <c r="B31" s="55" t="s">
        <v>1057</v>
      </c>
      <c r="C31" s="76" t="s">
        <v>562</v>
      </c>
      <c r="D31" s="55" t="s">
        <v>1058</v>
      </c>
      <c r="E31" s="77" t="s">
        <v>564</v>
      </c>
      <c r="F31" s="36">
        <v>16045</v>
      </c>
      <c r="G31" s="38">
        <v>3365</v>
      </c>
      <c r="H31" s="83"/>
      <c r="I31" s="23">
        <v>200</v>
      </c>
      <c r="J31" s="67">
        <v>700</v>
      </c>
      <c r="K31" s="67">
        <v>1000</v>
      </c>
      <c r="L31" s="76">
        <v>1180</v>
      </c>
      <c r="M31" s="67"/>
      <c r="N31" s="123" t="s">
        <v>1059</v>
      </c>
      <c r="O31" s="111"/>
      <c r="P31" s="858"/>
      <c r="Q31" s="115"/>
      <c r="R31" s="115"/>
      <c r="S31" s="115"/>
      <c r="T31" s="115"/>
      <c r="U31" s="115"/>
      <c r="V31" s="115"/>
      <c r="W31" s="115"/>
      <c r="X31" s="90"/>
      <c r="Y31" s="90"/>
      <c r="Z31" s="132"/>
      <c r="AA31" s="132"/>
      <c r="AB31" s="132"/>
      <c r="AC31" s="132"/>
      <c r="AD31" s="132"/>
      <c r="AE31" s="132"/>
      <c r="AF31" s="132"/>
      <c r="AG31" s="132"/>
      <c r="AH31" s="132"/>
      <c r="AI31" s="132"/>
      <c r="AJ31" s="132"/>
      <c r="AK31" s="132"/>
      <c r="AL31" s="132">
        <v>1000</v>
      </c>
      <c r="AM31" s="132"/>
      <c r="AN31" s="132"/>
      <c r="AO31" s="132"/>
      <c r="AP31" s="132">
        <v>200</v>
      </c>
      <c r="AQ31" s="90"/>
      <c r="AR31" s="90" t="s">
        <v>117</v>
      </c>
      <c r="AS31" s="34" t="s">
        <v>1040</v>
      </c>
      <c r="AT31" s="34" t="s">
        <v>498</v>
      </c>
      <c r="AU31" s="91" t="s">
        <v>1060</v>
      </c>
      <c r="AV31" s="201"/>
      <c r="AW31" s="598"/>
      <c r="AX31" s="598"/>
      <c r="AY31" s="840"/>
      <c r="AZ31" s="840"/>
      <c r="BA31" s="530"/>
      <c r="BB31" s="870"/>
      <c r="BC31" s="201"/>
      <c r="BD31" s="201"/>
      <c r="BE31" s="201"/>
      <c r="BF31" s="201"/>
      <c r="BG31" s="201"/>
      <c r="BH31" s="874"/>
      <c r="BI31" s="201"/>
      <c r="BJ31" s="201"/>
      <c r="BK31" s="201"/>
      <c r="BL31" s="201"/>
      <c r="BM31" s="201"/>
      <c r="BN31" s="201"/>
    </row>
    <row r="32" s="9" customFormat="1" ht="80.1" customHeight="1" spans="1:66">
      <c r="A32" s="23">
        <f>SUBTOTAL(3,C$9:C32)</f>
        <v>24</v>
      </c>
      <c r="B32" s="60" t="s">
        <v>1061</v>
      </c>
      <c r="C32" s="23" t="s">
        <v>79</v>
      </c>
      <c r="D32" s="60" t="s">
        <v>1062</v>
      </c>
      <c r="E32" s="23" t="s">
        <v>112</v>
      </c>
      <c r="F32" s="36">
        <v>3894.17</v>
      </c>
      <c r="G32" s="67"/>
      <c r="H32" s="81" t="s">
        <v>82</v>
      </c>
      <c r="I32" s="37">
        <v>10</v>
      </c>
      <c r="J32" s="37">
        <v>200</v>
      </c>
      <c r="K32" s="37">
        <v>1200</v>
      </c>
      <c r="L32" s="67">
        <v>2200</v>
      </c>
      <c r="M32" s="67"/>
      <c r="N32" s="123" t="s">
        <v>1063</v>
      </c>
      <c r="O32" s="133"/>
      <c r="P32" s="134"/>
      <c r="Q32" s="134"/>
      <c r="R32" s="134"/>
      <c r="S32" s="134"/>
      <c r="T32" s="134"/>
      <c r="U32" s="134"/>
      <c r="V32" s="134"/>
      <c r="W32" s="134"/>
      <c r="X32" s="90"/>
      <c r="Y32" s="90"/>
      <c r="Z32" s="132">
        <v>80</v>
      </c>
      <c r="AA32" s="132"/>
      <c r="AB32" s="132"/>
      <c r="AC32" s="132"/>
      <c r="AD32" s="132"/>
      <c r="AE32" s="132"/>
      <c r="AF32" s="132"/>
      <c r="AG32" s="132"/>
      <c r="AH32" s="132"/>
      <c r="AI32" s="132">
        <v>12</v>
      </c>
      <c r="AJ32" s="132"/>
      <c r="AK32" s="132">
        <v>12</v>
      </c>
      <c r="AL32" s="132">
        <v>981.5</v>
      </c>
      <c r="AM32" s="132"/>
      <c r="AN32" s="132"/>
      <c r="AO32" s="132"/>
      <c r="AP32" s="132">
        <v>2912.67</v>
      </c>
      <c r="AQ32" s="90"/>
      <c r="AR32" s="112" t="s">
        <v>117</v>
      </c>
      <c r="AS32" s="123" t="s">
        <v>1064</v>
      </c>
      <c r="AT32" s="34" t="s">
        <v>490</v>
      </c>
      <c r="AU32" s="93" t="s">
        <v>1065</v>
      </c>
      <c r="AV32" s="600"/>
      <c r="AW32" s="840"/>
      <c r="AX32" s="840"/>
      <c r="AY32" s="840"/>
      <c r="AZ32" s="840"/>
      <c r="BA32" s="529"/>
      <c r="BB32" s="600"/>
      <c r="BC32" s="600"/>
      <c r="BD32" s="600"/>
      <c r="BE32" s="529"/>
      <c r="BF32" s="529"/>
      <c r="BG32" s="529"/>
      <c r="BH32" s="873"/>
      <c r="BI32" s="600"/>
      <c r="BJ32" s="201"/>
      <c r="BK32" s="201"/>
      <c r="BN32" s="7"/>
    </row>
    <row r="33" ht="69.95" customHeight="1" spans="1:66">
      <c r="A33" s="23">
        <f>SUBTOTAL(3,C$9:C33)</f>
        <v>25</v>
      </c>
      <c r="B33" s="688" t="s">
        <v>1066</v>
      </c>
      <c r="C33" s="646" t="s">
        <v>562</v>
      </c>
      <c r="D33" s="688" t="s">
        <v>1067</v>
      </c>
      <c r="E33" s="646" t="s">
        <v>575</v>
      </c>
      <c r="F33" s="689">
        <v>14756</v>
      </c>
      <c r="G33" s="689">
        <v>2000</v>
      </c>
      <c r="H33" s="83"/>
      <c r="I33" s="67">
        <v>400</v>
      </c>
      <c r="J33" s="67">
        <v>1000</v>
      </c>
      <c r="K33" s="67">
        <v>1800</v>
      </c>
      <c r="L33" s="689">
        <v>3000</v>
      </c>
      <c r="M33" s="67"/>
      <c r="N33" s="123" t="s">
        <v>1068</v>
      </c>
      <c r="O33" s="111"/>
      <c r="P33" s="858"/>
      <c r="Q33" s="115"/>
      <c r="R33" s="115"/>
      <c r="S33" s="115"/>
      <c r="T33" s="115"/>
      <c r="U33" s="115"/>
      <c r="V33" s="115"/>
      <c r="W33" s="115"/>
      <c r="X33" s="90"/>
      <c r="Y33" s="90"/>
      <c r="Z33" s="132"/>
      <c r="AA33" s="132"/>
      <c r="AB33" s="132"/>
      <c r="AC33" s="132"/>
      <c r="AD33" s="132"/>
      <c r="AE33" s="132"/>
      <c r="AF33" s="132"/>
      <c r="AG33" s="132"/>
      <c r="AH33" s="132"/>
      <c r="AI33" s="132"/>
      <c r="AJ33" s="132"/>
      <c r="AK33" s="132"/>
      <c r="AL33" s="132">
        <v>1200</v>
      </c>
      <c r="AM33" s="132"/>
      <c r="AN33" s="132"/>
      <c r="AO33" s="132"/>
      <c r="AP33" s="132"/>
      <c r="AQ33" s="90"/>
      <c r="AR33" s="90" t="s">
        <v>117</v>
      </c>
      <c r="AS33" s="714" t="s">
        <v>1069</v>
      </c>
      <c r="AT33" s="34" t="s">
        <v>269</v>
      </c>
      <c r="AU33" s="91" t="s">
        <v>1070</v>
      </c>
      <c r="AV33" s="201"/>
      <c r="AW33" s="598"/>
      <c r="AX33" s="598"/>
      <c r="AY33" s="840"/>
      <c r="AZ33" s="840"/>
      <c r="BA33" s="530"/>
      <c r="BB33" s="870"/>
      <c r="BC33" s="201"/>
      <c r="BD33" s="201"/>
      <c r="BE33" s="201"/>
      <c r="BF33" s="201"/>
      <c r="BG33" s="201"/>
      <c r="BH33" s="874"/>
      <c r="BI33" s="201"/>
      <c r="BJ33" s="201"/>
      <c r="BK33" s="201"/>
      <c r="BL33" s="201"/>
      <c r="BM33" s="201"/>
      <c r="BN33" s="201"/>
    </row>
    <row r="34" ht="69.95" customHeight="1" spans="1:66">
      <c r="A34" s="23">
        <f>SUBTOTAL(3,C$9:C34)</f>
        <v>26</v>
      </c>
      <c r="B34" s="60" t="s">
        <v>1071</v>
      </c>
      <c r="C34" s="35" t="s">
        <v>562</v>
      </c>
      <c r="D34" s="88" t="s">
        <v>1072</v>
      </c>
      <c r="E34" s="23" t="s">
        <v>575</v>
      </c>
      <c r="F34" s="67">
        <v>6400</v>
      </c>
      <c r="G34" s="36">
        <v>611</v>
      </c>
      <c r="H34" s="83"/>
      <c r="I34" s="67">
        <v>200</v>
      </c>
      <c r="J34" s="67">
        <v>800</v>
      </c>
      <c r="K34" s="67">
        <v>1400</v>
      </c>
      <c r="L34" s="36">
        <v>2000</v>
      </c>
      <c r="M34" s="67"/>
      <c r="N34" s="123" t="s">
        <v>1073</v>
      </c>
      <c r="O34" s="111"/>
      <c r="P34" s="858"/>
      <c r="Q34" s="115"/>
      <c r="R34" s="115"/>
      <c r="S34" s="115"/>
      <c r="T34" s="115"/>
      <c r="U34" s="115"/>
      <c r="V34" s="115"/>
      <c r="W34" s="115"/>
      <c r="X34" s="90"/>
      <c r="Y34" s="90"/>
      <c r="Z34" s="132"/>
      <c r="AA34" s="132"/>
      <c r="AB34" s="132"/>
      <c r="AC34" s="132"/>
      <c r="AD34" s="132"/>
      <c r="AE34" s="132"/>
      <c r="AF34" s="132"/>
      <c r="AG34" s="132"/>
      <c r="AH34" s="132"/>
      <c r="AI34" s="132"/>
      <c r="AJ34" s="132"/>
      <c r="AK34" s="132"/>
      <c r="AL34" s="132">
        <v>3000</v>
      </c>
      <c r="AM34" s="132"/>
      <c r="AN34" s="132"/>
      <c r="AO34" s="132"/>
      <c r="AP34" s="132"/>
      <c r="AQ34" s="90"/>
      <c r="AR34" s="90" t="s">
        <v>117</v>
      </c>
      <c r="AS34" s="123" t="s">
        <v>1074</v>
      </c>
      <c r="AT34" s="34" t="s">
        <v>269</v>
      </c>
      <c r="AU34" s="91" t="s">
        <v>1075</v>
      </c>
      <c r="AV34" s="201"/>
      <c r="AW34" s="598"/>
      <c r="AX34" s="598"/>
      <c r="AY34" s="840"/>
      <c r="AZ34" s="840"/>
      <c r="BA34" s="530"/>
      <c r="BB34" s="870"/>
      <c r="BC34" s="201"/>
      <c r="BD34" s="201"/>
      <c r="BE34" s="201"/>
      <c r="BF34" s="201"/>
      <c r="BG34" s="201"/>
      <c r="BH34" s="874"/>
      <c r="BI34" s="201"/>
      <c r="BJ34" s="201"/>
      <c r="BK34" s="201"/>
      <c r="BL34" s="201"/>
      <c r="BM34" s="201"/>
      <c r="BN34" s="201"/>
    </row>
    <row r="35" s="9" customFormat="1" ht="80.1" customHeight="1" spans="1:66">
      <c r="A35" s="23">
        <f>SUBTOTAL(3,C$9:C35)</f>
        <v>27</v>
      </c>
      <c r="B35" s="829" t="s">
        <v>1076</v>
      </c>
      <c r="C35" s="35" t="s">
        <v>562</v>
      </c>
      <c r="D35" s="232" t="s">
        <v>1077</v>
      </c>
      <c r="E35" s="35" t="s">
        <v>575</v>
      </c>
      <c r="F35" s="35">
        <v>19924</v>
      </c>
      <c r="G35" s="35">
        <v>2000</v>
      </c>
      <c r="H35" s="134"/>
      <c r="I35" s="67">
        <v>350</v>
      </c>
      <c r="J35" s="67">
        <v>750</v>
      </c>
      <c r="K35" s="67">
        <v>1100</v>
      </c>
      <c r="L35" s="35">
        <v>3000</v>
      </c>
      <c r="M35" s="134"/>
      <c r="N35" s="123" t="s">
        <v>1078</v>
      </c>
      <c r="O35" s="133"/>
      <c r="P35" s="134"/>
      <c r="Q35" s="134"/>
      <c r="R35" s="134"/>
      <c r="S35" s="134"/>
      <c r="T35" s="134"/>
      <c r="U35" s="134"/>
      <c r="V35" s="134"/>
      <c r="W35" s="134"/>
      <c r="X35" s="90"/>
      <c r="Y35" s="90"/>
      <c r="Z35" s="132">
        <v>262.2</v>
      </c>
      <c r="AA35" s="132"/>
      <c r="AB35" s="132">
        <v>262.2</v>
      </c>
      <c r="AC35" s="132">
        <v>261.8925</v>
      </c>
      <c r="AD35" s="132">
        <v>261.8925</v>
      </c>
      <c r="AE35" s="132"/>
      <c r="AF35" s="132"/>
      <c r="AG35" s="132"/>
      <c r="AH35" s="132"/>
      <c r="AI35" s="132"/>
      <c r="AJ35" s="132"/>
      <c r="AK35" s="132"/>
      <c r="AL35" s="99"/>
      <c r="AM35" s="99">
        <v>900</v>
      </c>
      <c r="AN35" s="836"/>
      <c r="AO35" s="99"/>
      <c r="AP35" s="99">
        <v>19024</v>
      </c>
      <c r="AQ35" s="90"/>
      <c r="AR35" s="90" t="s">
        <v>789</v>
      </c>
      <c r="AS35" s="34" t="s">
        <v>785</v>
      </c>
      <c r="AT35" s="34" t="s">
        <v>317</v>
      </c>
      <c r="AU35" s="91" t="s">
        <v>1079</v>
      </c>
      <c r="AV35" s="600"/>
      <c r="AW35" s="840"/>
      <c r="AX35" s="840"/>
      <c r="AY35" s="840"/>
      <c r="AZ35" s="840"/>
      <c r="BA35" s="529"/>
      <c r="BB35" s="600"/>
      <c r="BC35" s="600"/>
      <c r="BD35" s="600"/>
      <c r="BE35" s="529"/>
      <c r="BF35" s="529"/>
      <c r="BG35" s="529"/>
      <c r="BH35" s="873"/>
      <c r="BI35" s="600"/>
      <c r="BJ35" s="201"/>
      <c r="BK35" s="201"/>
      <c r="BN35" s="7"/>
    </row>
    <row r="36" ht="56.1" customHeight="1" spans="1:66">
      <c r="A36" s="23">
        <f>SUBTOTAL(3,C$9:C36)</f>
        <v>28</v>
      </c>
      <c r="B36" s="829" t="s">
        <v>1080</v>
      </c>
      <c r="C36" s="646" t="s">
        <v>562</v>
      </c>
      <c r="D36" s="232" t="s">
        <v>1081</v>
      </c>
      <c r="E36" s="35" t="s">
        <v>575</v>
      </c>
      <c r="F36" s="35">
        <v>8382</v>
      </c>
      <c r="G36" s="35">
        <v>5200</v>
      </c>
      <c r="H36" s="83"/>
      <c r="I36" s="67">
        <v>800</v>
      </c>
      <c r="J36" s="67">
        <v>1500</v>
      </c>
      <c r="K36" s="67">
        <v>2200</v>
      </c>
      <c r="L36" s="35">
        <v>3000</v>
      </c>
      <c r="M36" s="67"/>
      <c r="N36" s="123" t="s">
        <v>1082</v>
      </c>
      <c r="O36" s="111"/>
      <c r="P36" s="858"/>
      <c r="Q36" s="115"/>
      <c r="R36" s="115"/>
      <c r="S36" s="115"/>
      <c r="T36" s="115"/>
      <c r="U36" s="115"/>
      <c r="V36" s="115"/>
      <c r="W36" s="115"/>
      <c r="X36" s="90"/>
      <c r="Y36" s="90"/>
      <c r="Z36" s="132"/>
      <c r="AA36" s="132"/>
      <c r="AB36" s="132"/>
      <c r="AC36" s="132"/>
      <c r="AD36" s="132"/>
      <c r="AE36" s="132"/>
      <c r="AF36" s="132"/>
      <c r="AG36" s="132"/>
      <c r="AH36" s="132"/>
      <c r="AI36" s="132"/>
      <c r="AJ36" s="132"/>
      <c r="AK36" s="132"/>
      <c r="AL36" s="132">
        <v>2000</v>
      </c>
      <c r="AM36" s="132"/>
      <c r="AN36" s="132"/>
      <c r="AO36" s="132"/>
      <c r="AP36" s="132"/>
      <c r="AQ36" s="90"/>
      <c r="AR36" s="90" t="s">
        <v>117</v>
      </c>
      <c r="AS36" s="34" t="s">
        <v>1083</v>
      </c>
      <c r="AT36" s="34" t="s">
        <v>317</v>
      </c>
      <c r="AU36" s="91" t="s">
        <v>1084</v>
      </c>
      <c r="AV36" s="201"/>
      <c r="AW36" s="598"/>
      <c r="AX36" s="598"/>
      <c r="AY36" s="840"/>
      <c r="AZ36" s="840"/>
      <c r="BA36" s="530"/>
      <c r="BB36" s="870"/>
      <c r="BC36" s="201"/>
      <c r="BD36" s="201"/>
      <c r="BE36" s="201"/>
      <c r="BF36" s="201"/>
      <c r="BG36" s="201"/>
      <c r="BH36" s="874"/>
      <c r="BI36" s="201"/>
      <c r="BJ36" s="201"/>
      <c r="BK36" s="201"/>
      <c r="BL36" s="201"/>
      <c r="BM36" s="201"/>
      <c r="BN36" s="201"/>
    </row>
    <row r="37" ht="53.1" customHeight="1" spans="1:66">
      <c r="A37" s="23">
        <f>SUBTOTAL(3,C$9:C37)</f>
        <v>29</v>
      </c>
      <c r="B37" s="829" t="s">
        <v>1085</v>
      </c>
      <c r="C37" s="35" t="s">
        <v>562</v>
      </c>
      <c r="D37" s="232" t="s">
        <v>1086</v>
      </c>
      <c r="E37" s="35" t="s">
        <v>575</v>
      </c>
      <c r="F37" s="35">
        <v>8100</v>
      </c>
      <c r="G37" s="37">
        <v>500</v>
      </c>
      <c r="H37" s="83"/>
      <c r="I37" s="67">
        <v>500</v>
      </c>
      <c r="J37" s="67">
        <v>1500</v>
      </c>
      <c r="K37" s="67">
        <v>2800</v>
      </c>
      <c r="L37" s="37">
        <v>4000</v>
      </c>
      <c r="M37" s="67"/>
      <c r="N37" s="123" t="s">
        <v>1087</v>
      </c>
      <c r="O37" s="111"/>
      <c r="P37" s="858"/>
      <c r="Q37" s="115"/>
      <c r="R37" s="115"/>
      <c r="S37" s="115"/>
      <c r="T37" s="115"/>
      <c r="U37" s="115"/>
      <c r="V37" s="115"/>
      <c r="W37" s="115"/>
      <c r="X37" s="90"/>
      <c r="Y37" s="90"/>
      <c r="Z37" s="132">
        <v>102.24</v>
      </c>
      <c r="AA37" s="132">
        <v>90</v>
      </c>
      <c r="AB37" s="132">
        <v>12.24</v>
      </c>
      <c r="AC37" s="132"/>
      <c r="AD37" s="132"/>
      <c r="AE37" s="132"/>
      <c r="AF37" s="132"/>
      <c r="AG37" s="132"/>
      <c r="AH37" s="132"/>
      <c r="AI37" s="132">
        <v>12.24</v>
      </c>
      <c r="AJ37" s="132"/>
      <c r="AK37" s="132">
        <v>12.24</v>
      </c>
      <c r="AL37" s="132">
        <v>1000</v>
      </c>
      <c r="AM37" s="132"/>
      <c r="AN37" s="132"/>
      <c r="AO37" s="132"/>
      <c r="AP37" s="132"/>
      <c r="AQ37" s="90"/>
      <c r="AR37" s="90" t="s">
        <v>1088</v>
      </c>
      <c r="AS37" s="595" t="s">
        <v>785</v>
      </c>
      <c r="AT37" s="34" t="s">
        <v>317</v>
      </c>
      <c r="AU37" s="91" t="s">
        <v>1089</v>
      </c>
      <c r="AV37" s="201"/>
      <c r="AW37" s="598"/>
      <c r="AX37" s="598"/>
      <c r="AY37" s="840"/>
      <c r="AZ37" s="840"/>
      <c r="BA37" s="530"/>
      <c r="BB37" s="870"/>
      <c r="BC37" s="201"/>
      <c r="BD37" s="201"/>
      <c r="BE37" s="201"/>
      <c r="BF37" s="201"/>
      <c r="BG37" s="201"/>
      <c r="BH37" s="874"/>
      <c r="BI37" s="201"/>
      <c r="BJ37" s="201"/>
      <c r="BK37" s="201"/>
      <c r="BL37" s="201"/>
      <c r="BM37" s="201"/>
      <c r="BN37" s="201"/>
    </row>
    <row r="38" ht="67.5" spans="1:66">
      <c r="A38" s="23">
        <f>SUBTOTAL(3,C$9:C38)</f>
        <v>30</v>
      </c>
      <c r="B38" s="829" t="s">
        <v>1090</v>
      </c>
      <c r="C38" s="35" t="s">
        <v>562</v>
      </c>
      <c r="D38" s="232" t="s">
        <v>1091</v>
      </c>
      <c r="E38" s="35" t="s">
        <v>575</v>
      </c>
      <c r="F38" s="35">
        <v>5514</v>
      </c>
      <c r="G38" s="37">
        <v>300</v>
      </c>
      <c r="H38" s="83"/>
      <c r="I38" s="67">
        <v>200</v>
      </c>
      <c r="J38" s="67">
        <v>800</v>
      </c>
      <c r="K38" s="67">
        <v>1500</v>
      </c>
      <c r="L38" s="37">
        <v>2000</v>
      </c>
      <c r="M38" s="67"/>
      <c r="N38" s="123" t="s">
        <v>1092</v>
      </c>
      <c r="O38" s="111"/>
      <c r="P38" s="858"/>
      <c r="Q38" s="115"/>
      <c r="R38" s="115"/>
      <c r="S38" s="115"/>
      <c r="T38" s="115"/>
      <c r="U38" s="115"/>
      <c r="V38" s="115"/>
      <c r="W38" s="115"/>
      <c r="X38" s="90"/>
      <c r="Y38" s="90"/>
      <c r="Z38" s="132">
        <v>105.732</v>
      </c>
      <c r="AA38" s="132">
        <v>106</v>
      </c>
      <c r="AB38" s="132"/>
      <c r="AC38" s="132"/>
      <c r="AD38" s="132"/>
      <c r="AE38" s="132"/>
      <c r="AF38" s="132"/>
      <c r="AG38" s="132"/>
      <c r="AH38" s="132"/>
      <c r="AI38" s="132"/>
      <c r="AJ38" s="132"/>
      <c r="AK38" s="132"/>
      <c r="AL38" s="132">
        <v>800</v>
      </c>
      <c r="AM38" s="132"/>
      <c r="AN38" s="132"/>
      <c r="AO38" s="132"/>
      <c r="AP38" s="132">
        <v>4244</v>
      </c>
      <c r="AQ38" s="90"/>
      <c r="AR38" s="90" t="s">
        <v>1093</v>
      </c>
      <c r="AS38" s="595" t="s">
        <v>785</v>
      </c>
      <c r="AT38" s="34" t="s">
        <v>317</v>
      </c>
      <c r="AU38" s="91" t="s">
        <v>1094</v>
      </c>
      <c r="AV38" s="201"/>
      <c r="AW38" s="598"/>
      <c r="AX38" s="598"/>
      <c r="AY38" s="840"/>
      <c r="AZ38" s="840"/>
      <c r="BA38" s="530"/>
      <c r="BB38" s="870"/>
      <c r="BC38" s="201"/>
      <c r="BD38" s="201"/>
      <c r="BE38" s="201"/>
      <c r="BF38" s="201"/>
      <c r="BG38" s="201"/>
      <c r="BH38" s="874"/>
      <c r="BI38" s="201"/>
      <c r="BJ38" s="201"/>
      <c r="BK38" s="201"/>
      <c r="BL38" s="201"/>
      <c r="BM38" s="201"/>
      <c r="BN38" s="201"/>
    </row>
    <row r="39" ht="69.95" customHeight="1" spans="1:66">
      <c r="A39" s="23">
        <f>SUBTOTAL(3,C$9:C39)</f>
        <v>31</v>
      </c>
      <c r="B39" s="55" t="s">
        <v>1095</v>
      </c>
      <c r="C39" s="35" t="s">
        <v>562</v>
      </c>
      <c r="D39" s="55" t="s">
        <v>1096</v>
      </c>
      <c r="E39" s="35" t="s">
        <v>575</v>
      </c>
      <c r="F39" s="38">
        <v>45960</v>
      </c>
      <c r="G39" s="38">
        <v>4620</v>
      </c>
      <c r="H39" s="83"/>
      <c r="I39" s="36">
        <v>3000</v>
      </c>
      <c r="J39" s="36">
        <v>7000</v>
      </c>
      <c r="K39" s="36">
        <v>10000</v>
      </c>
      <c r="L39" s="38">
        <v>14400</v>
      </c>
      <c r="M39" s="67"/>
      <c r="N39" s="112" t="s">
        <v>1097</v>
      </c>
      <c r="O39" s="111"/>
      <c r="P39" s="858"/>
      <c r="Q39" s="115"/>
      <c r="R39" s="115"/>
      <c r="S39" s="115"/>
      <c r="T39" s="115"/>
      <c r="U39" s="115"/>
      <c r="V39" s="115"/>
      <c r="W39" s="115"/>
      <c r="X39" s="90"/>
      <c r="Y39" s="90"/>
      <c r="Z39" s="132"/>
      <c r="AA39" s="132"/>
      <c r="AB39" s="132"/>
      <c r="AC39" s="132"/>
      <c r="AD39" s="132"/>
      <c r="AE39" s="132"/>
      <c r="AF39" s="132"/>
      <c r="AG39" s="132"/>
      <c r="AH39" s="132"/>
      <c r="AI39" s="132"/>
      <c r="AJ39" s="132"/>
      <c r="AK39" s="132"/>
      <c r="AL39" s="132">
        <v>9000</v>
      </c>
      <c r="AM39" s="132"/>
      <c r="AN39" s="132"/>
      <c r="AO39" s="132"/>
      <c r="AP39" s="132"/>
      <c r="AQ39" s="90"/>
      <c r="AR39" s="112" t="s">
        <v>117</v>
      </c>
      <c r="AS39" s="123" t="s">
        <v>807</v>
      </c>
      <c r="AT39" s="34" t="s">
        <v>375</v>
      </c>
      <c r="AU39" s="91" t="s">
        <v>1098</v>
      </c>
      <c r="AV39" s="201"/>
      <c r="AW39" s="598"/>
      <c r="AX39" s="598"/>
      <c r="AY39" s="840"/>
      <c r="AZ39" s="840"/>
      <c r="BA39" s="530"/>
      <c r="BB39" s="870"/>
      <c r="BC39" s="201"/>
      <c r="BD39" s="201"/>
      <c r="BE39" s="201"/>
      <c r="BF39" s="201"/>
      <c r="BG39" s="201"/>
      <c r="BH39" s="874"/>
      <c r="BI39" s="201"/>
      <c r="BJ39" s="201"/>
      <c r="BK39" s="201"/>
      <c r="BL39" s="201"/>
      <c r="BM39" s="201"/>
      <c r="BN39" s="201"/>
    </row>
    <row r="40" ht="80.1" customHeight="1" spans="1:66">
      <c r="A40" s="23">
        <f>SUBTOTAL(3,C$9:C40)</f>
        <v>32</v>
      </c>
      <c r="B40" s="58" t="s">
        <v>1099</v>
      </c>
      <c r="C40" s="35" t="s">
        <v>810</v>
      </c>
      <c r="D40" s="60" t="s">
        <v>1100</v>
      </c>
      <c r="E40" s="23" t="s">
        <v>812</v>
      </c>
      <c r="F40" s="67">
        <v>1375</v>
      </c>
      <c r="G40" s="67">
        <v>560</v>
      </c>
      <c r="H40" s="36" t="s">
        <v>131</v>
      </c>
      <c r="I40" s="81">
        <v>100</v>
      </c>
      <c r="J40" s="81">
        <v>300</v>
      </c>
      <c r="K40" s="81">
        <v>600</v>
      </c>
      <c r="L40" s="36">
        <v>815</v>
      </c>
      <c r="M40" s="67"/>
      <c r="N40" s="123" t="s">
        <v>971</v>
      </c>
      <c r="O40" s="111"/>
      <c r="P40" s="858"/>
      <c r="Q40" s="115"/>
      <c r="R40" s="115"/>
      <c r="S40" s="115"/>
      <c r="T40" s="115"/>
      <c r="U40" s="115"/>
      <c r="V40" s="115"/>
      <c r="W40" s="115"/>
      <c r="X40" s="90"/>
      <c r="Y40" s="90"/>
      <c r="Z40" s="132"/>
      <c r="AA40" s="132"/>
      <c r="AB40" s="132"/>
      <c r="AC40" s="132"/>
      <c r="AD40" s="132"/>
      <c r="AE40" s="132"/>
      <c r="AF40" s="132"/>
      <c r="AG40" s="132"/>
      <c r="AH40" s="132"/>
      <c r="AI40" s="132"/>
      <c r="AJ40" s="132"/>
      <c r="AK40" s="132"/>
      <c r="AL40" s="132">
        <v>1100</v>
      </c>
      <c r="AM40" s="132"/>
      <c r="AN40" s="132"/>
      <c r="AO40" s="132"/>
      <c r="AP40" s="132"/>
      <c r="AQ40" s="90"/>
      <c r="AR40" s="34" t="s">
        <v>117</v>
      </c>
      <c r="AS40" s="869" t="s">
        <v>1101</v>
      </c>
      <c r="AT40" s="34" t="s">
        <v>375</v>
      </c>
      <c r="AU40" s="270" t="s">
        <v>1102</v>
      </c>
      <c r="AV40" s="201"/>
      <c r="AW40" s="598"/>
      <c r="AX40" s="598"/>
      <c r="AY40" s="840"/>
      <c r="AZ40" s="840"/>
      <c r="BA40" s="530"/>
      <c r="BB40" s="870"/>
      <c r="BC40" s="201"/>
      <c r="BD40" s="201"/>
      <c r="BE40" s="201"/>
      <c r="BF40" s="201"/>
      <c r="BG40" s="201"/>
      <c r="BH40" s="874"/>
      <c r="BI40" s="201"/>
      <c r="BJ40" s="201"/>
      <c r="BK40" s="201"/>
      <c r="BL40" s="201"/>
      <c r="BM40" s="201"/>
      <c r="BN40" s="201"/>
    </row>
    <row r="41" s="9" customFormat="1" ht="30" customHeight="1" spans="1:66">
      <c r="A41" s="551" t="s">
        <v>560</v>
      </c>
      <c r="B41" s="557" t="str">
        <f>"政府必建项目（"&amp;SUBTOTAL(3,C44:C183)&amp;"个）"</f>
        <v>政府必建项目（136个）</v>
      </c>
      <c r="C41" s="557"/>
      <c r="D41" s="557"/>
      <c r="E41" s="551"/>
      <c r="F41" s="134">
        <f t="shared" ref="F41:L41" si="4">F42+F76+F126</f>
        <v>4412400.006</v>
      </c>
      <c r="G41" s="134">
        <f t="shared" si="4"/>
        <v>913522</v>
      </c>
      <c r="H41" s="134"/>
      <c r="I41" s="134">
        <f t="shared" si="4"/>
        <v>98548.29</v>
      </c>
      <c r="J41" s="134">
        <f t="shared" si="4"/>
        <v>256380.17</v>
      </c>
      <c r="K41" s="134">
        <f t="shared" si="4"/>
        <v>441234.34</v>
      </c>
      <c r="L41" s="134">
        <f t="shared" si="4"/>
        <v>667745.886</v>
      </c>
      <c r="M41" s="134"/>
      <c r="N41" s="134"/>
      <c r="O41" s="133"/>
      <c r="P41" s="134"/>
      <c r="Q41" s="134"/>
      <c r="R41" s="134"/>
      <c r="S41" s="134"/>
      <c r="T41" s="134"/>
      <c r="U41" s="134"/>
      <c r="V41" s="134"/>
      <c r="W41" s="134"/>
      <c r="X41" s="90"/>
      <c r="Y41" s="90"/>
      <c r="Z41" s="134" t="e">
        <f>Z42+Z76+Z126+#REF!</f>
        <v>#REF!</v>
      </c>
      <c r="AA41" s="134" t="e">
        <f>AA42+AA76+AA126+#REF!</f>
        <v>#REF!</v>
      </c>
      <c r="AB41" s="134" t="e">
        <f>AB42+AB76+AB126+#REF!</f>
        <v>#REF!</v>
      </c>
      <c r="AC41" s="134" t="e">
        <f>AC42+AC76+AC126+#REF!</f>
        <v>#REF!</v>
      </c>
      <c r="AD41" s="134" t="e">
        <f>AD42+AD76+AD126+#REF!</f>
        <v>#REF!</v>
      </c>
      <c r="AE41" s="134" t="e">
        <f>AE42+AE76+AE126+#REF!</f>
        <v>#REF!</v>
      </c>
      <c r="AF41" s="134" t="e">
        <f>AF42+AF76+AF126+#REF!</f>
        <v>#REF!</v>
      </c>
      <c r="AG41" s="134" t="e">
        <f>AG42+AG76+AG126+#REF!</f>
        <v>#REF!</v>
      </c>
      <c r="AH41" s="134" t="e">
        <f>AH42+AH76+AH126+#REF!</f>
        <v>#REF!</v>
      </c>
      <c r="AI41" s="134" t="e">
        <f>AI42+AI76+AI126+#REF!</f>
        <v>#REF!</v>
      </c>
      <c r="AJ41" s="134" t="e">
        <f>AJ42+AJ76+AJ126+#REF!</f>
        <v>#REF!</v>
      </c>
      <c r="AK41" s="134" t="e">
        <f>AK42+AK76+AK126+#REF!</f>
        <v>#REF!</v>
      </c>
      <c r="AL41" s="134" t="e">
        <f>AL42+AL76+AL126+#REF!</f>
        <v>#REF!</v>
      </c>
      <c r="AM41" s="134" t="e">
        <f>AM42+AM76+AM126+#REF!</f>
        <v>#REF!</v>
      </c>
      <c r="AN41" s="134" t="e">
        <f>AN42+AN76+AN126+#REF!</f>
        <v>#REF!</v>
      </c>
      <c r="AO41" s="134" t="e">
        <f>AO42+AO76+AO126+#REF!</f>
        <v>#REF!</v>
      </c>
      <c r="AP41" s="134" t="e">
        <f>AP42+AP76+AP126+#REF!</f>
        <v>#REF!</v>
      </c>
      <c r="AQ41" s="90"/>
      <c r="AR41" s="112"/>
      <c r="AS41" s="591"/>
      <c r="AT41" s="591"/>
      <c r="AU41" s="93"/>
      <c r="AV41" s="165"/>
      <c r="AW41" s="158"/>
      <c r="AX41" s="158"/>
      <c r="AY41" s="158"/>
      <c r="AZ41" s="158"/>
      <c r="BA41" s="169"/>
      <c r="BB41" s="165"/>
      <c r="BC41" s="165"/>
      <c r="BD41" s="165"/>
      <c r="BE41" s="169"/>
      <c r="BF41" s="169"/>
      <c r="BG41" s="169"/>
      <c r="BH41" s="872"/>
      <c r="BI41" s="165"/>
      <c r="BJ41" s="157"/>
      <c r="BK41" s="157"/>
      <c r="BN41" s="7"/>
    </row>
    <row r="42" s="9" customFormat="1" ht="30" customHeight="1" spans="1:66">
      <c r="A42" s="551" t="s">
        <v>77</v>
      </c>
      <c r="B42" s="557" t="str">
        <f>"交通（"&amp;SUBTOTAL(3,C44:C75)&amp;"个）"</f>
        <v>交通（30个）</v>
      </c>
      <c r="C42" s="557"/>
      <c r="D42" s="557"/>
      <c r="E42" s="551"/>
      <c r="F42" s="134">
        <f t="shared" ref="F42:L42" si="5">F43+F52+F56</f>
        <v>1609462.8</v>
      </c>
      <c r="G42" s="134">
        <f t="shared" si="5"/>
        <v>331523</v>
      </c>
      <c r="H42" s="134"/>
      <c r="I42" s="134">
        <f t="shared" si="5"/>
        <v>39680</v>
      </c>
      <c r="J42" s="134">
        <f t="shared" si="5"/>
        <v>122569</v>
      </c>
      <c r="K42" s="134">
        <f t="shared" si="5"/>
        <v>185522</v>
      </c>
      <c r="L42" s="134">
        <f t="shared" si="5"/>
        <v>267045.8</v>
      </c>
      <c r="M42" s="134"/>
      <c r="N42" s="134"/>
      <c r="O42" s="133"/>
      <c r="P42" s="134"/>
      <c r="Q42" s="134"/>
      <c r="R42" s="134"/>
      <c r="S42" s="134"/>
      <c r="T42" s="134"/>
      <c r="U42" s="134"/>
      <c r="V42" s="134"/>
      <c r="W42" s="134"/>
      <c r="X42" s="90"/>
      <c r="Y42" s="90"/>
      <c r="Z42" s="134">
        <f t="shared" ref="Z42:AP42" si="6">Z43+Z52+Z56</f>
        <v>10796.265</v>
      </c>
      <c r="AA42" s="134">
        <f t="shared" si="6"/>
        <v>6909.615</v>
      </c>
      <c r="AB42" s="134">
        <f t="shared" si="6"/>
        <v>3887</v>
      </c>
      <c r="AC42" s="134">
        <f t="shared" si="6"/>
        <v>2548.744</v>
      </c>
      <c r="AD42" s="134">
        <f t="shared" si="6"/>
        <v>1933.844</v>
      </c>
      <c r="AE42" s="134">
        <f t="shared" si="6"/>
        <v>616</v>
      </c>
      <c r="AF42" s="134">
        <f t="shared" si="6"/>
        <v>1188.2545</v>
      </c>
      <c r="AG42" s="134">
        <f t="shared" si="6"/>
        <v>1043.2545</v>
      </c>
      <c r="AH42" s="134">
        <f t="shared" si="6"/>
        <v>145</v>
      </c>
      <c r="AI42" s="134">
        <f t="shared" si="6"/>
        <v>4082.23</v>
      </c>
      <c r="AJ42" s="134">
        <f t="shared" si="6"/>
        <v>3543.96</v>
      </c>
      <c r="AK42" s="134">
        <f t="shared" si="6"/>
        <v>504.75</v>
      </c>
      <c r="AL42" s="134">
        <f t="shared" si="6"/>
        <v>0</v>
      </c>
      <c r="AM42" s="134">
        <f t="shared" si="6"/>
        <v>0</v>
      </c>
      <c r="AN42" s="134">
        <f t="shared" si="6"/>
        <v>0</v>
      </c>
      <c r="AO42" s="134">
        <f t="shared" si="6"/>
        <v>34888.81</v>
      </c>
      <c r="AP42" s="134">
        <f t="shared" si="6"/>
        <v>162943</v>
      </c>
      <c r="AQ42" s="90"/>
      <c r="AR42" s="112"/>
      <c r="AS42" s="591"/>
      <c r="AT42" s="591"/>
      <c r="AU42" s="93"/>
      <c r="AV42" s="600"/>
      <c r="AW42" s="840"/>
      <c r="AX42" s="840"/>
      <c r="AY42" s="840"/>
      <c r="AZ42" s="840"/>
      <c r="BA42" s="529"/>
      <c r="BB42" s="600"/>
      <c r="BC42" s="600"/>
      <c r="BD42" s="600"/>
      <c r="BE42" s="529"/>
      <c r="BF42" s="529"/>
      <c r="BG42" s="529"/>
      <c r="BH42" s="873"/>
      <c r="BI42" s="600"/>
      <c r="BJ42" s="201"/>
      <c r="BK42" s="201"/>
      <c r="BN42" s="7"/>
    </row>
    <row r="43" s="9" customFormat="1" ht="22.5" hidden="1" customHeight="1" spans="1:66">
      <c r="A43" s="854"/>
      <c r="B43" s="557" t="str">
        <f>"港口水运（"&amp;SUBTOTAL(3,C44:C51)&amp;"个）"</f>
        <v>港口水运（8个）</v>
      </c>
      <c r="C43" s="557"/>
      <c r="D43" s="557"/>
      <c r="E43" s="551"/>
      <c r="F43" s="134">
        <f t="shared" ref="F43:L43" si="7">SUBTOTAL(9,F44:F51)</f>
        <v>639141</v>
      </c>
      <c r="G43" s="134">
        <f t="shared" si="7"/>
        <v>220013</v>
      </c>
      <c r="H43" s="134"/>
      <c r="I43" s="134">
        <f t="shared" si="7"/>
        <v>16800</v>
      </c>
      <c r="J43" s="134">
        <f t="shared" si="7"/>
        <v>63869</v>
      </c>
      <c r="K43" s="134">
        <f t="shared" si="7"/>
        <v>88369</v>
      </c>
      <c r="L43" s="134">
        <f t="shared" si="7"/>
        <v>114387</v>
      </c>
      <c r="M43" s="134"/>
      <c r="N43" s="134"/>
      <c r="O43" s="133"/>
      <c r="P43" s="134"/>
      <c r="Q43" s="134"/>
      <c r="R43" s="134"/>
      <c r="S43" s="134"/>
      <c r="T43" s="134"/>
      <c r="U43" s="134"/>
      <c r="V43" s="134"/>
      <c r="W43" s="134"/>
      <c r="X43" s="90"/>
      <c r="Y43" s="90"/>
      <c r="Z43" s="134">
        <f t="shared" ref="Z43:AP43" si="8">SUBTOTAL(9,Z44:Z51)</f>
        <v>0</v>
      </c>
      <c r="AA43" s="134">
        <f t="shared" si="8"/>
        <v>0</v>
      </c>
      <c r="AB43" s="134">
        <f t="shared" si="8"/>
        <v>0</v>
      </c>
      <c r="AC43" s="134">
        <f t="shared" si="8"/>
        <v>0</v>
      </c>
      <c r="AD43" s="134">
        <f t="shared" si="8"/>
        <v>0</v>
      </c>
      <c r="AE43" s="134">
        <f t="shared" si="8"/>
        <v>0</v>
      </c>
      <c r="AF43" s="134">
        <f t="shared" si="8"/>
        <v>1058.2545</v>
      </c>
      <c r="AG43" s="134">
        <f t="shared" si="8"/>
        <v>1043.2545</v>
      </c>
      <c r="AH43" s="134">
        <f t="shared" si="8"/>
        <v>15</v>
      </c>
      <c r="AI43" s="134">
        <f t="shared" si="8"/>
        <v>0</v>
      </c>
      <c r="AJ43" s="134">
        <f t="shared" si="8"/>
        <v>0</v>
      </c>
      <c r="AK43" s="134">
        <f t="shared" si="8"/>
        <v>0</v>
      </c>
      <c r="AL43" s="134">
        <f t="shared" si="8"/>
        <v>0</v>
      </c>
      <c r="AM43" s="134">
        <f t="shared" si="8"/>
        <v>0</v>
      </c>
      <c r="AN43" s="134">
        <f t="shared" si="8"/>
        <v>0</v>
      </c>
      <c r="AO43" s="134">
        <f t="shared" si="8"/>
        <v>13000</v>
      </c>
      <c r="AP43" s="134">
        <f t="shared" si="8"/>
        <v>10500</v>
      </c>
      <c r="AQ43" s="90"/>
      <c r="AR43" s="112"/>
      <c r="AS43" s="678"/>
      <c r="AT43" s="134"/>
      <c r="AU43" s="93"/>
      <c r="AV43" s="600"/>
      <c r="AW43" s="840"/>
      <c r="AX43" s="840"/>
      <c r="AY43" s="840"/>
      <c r="AZ43" s="840"/>
      <c r="BA43" s="529"/>
      <c r="BB43" s="600"/>
      <c r="BC43" s="600"/>
      <c r="BD43" s="600"/>
      <c r="BE43" s="529"/>
      <c r="BF43" s="529"/>
      <c r="BG43" s="529"/>
      <c r="BH43" s="873"/>
      <c r="BI43" s="600"/>
      <c r="BJ43" s="201"/>
      <c r="BK43" s="201"/>
      <c r="BN43" s="7"/>
    </row>
    <row r="44" s="9" customFormat="1" ht="69.95" customHeight="1" spans="1:66">
      <c r="A44" s="23">
        <f>SUBTOTAL(3,C$9:C44)</f>
        <v>33</v>
      </c>
      <c r="B44" s="60" t="s">
        <v>1103</v>
      </c>
      <c r="C44" s="23" t="s">
        <v>79</v>
      </c>
      <c r="D44" s="88" t="s">
        <v>1104</v>
      </c>
      <c r="E44" s="23" t="s">
        <v>143</v>
      </c>
      <c r="F44" s="67">
        <v>117370</v>
      </c>
      <c r="G44" s="67"/>
      <c r="H44" s="83" t="s">
        <v>122</v>
      </c>
      <c r="I44" s="83"/>
      <c r="J44" s="83"/>
      <c r="K44" s="578">
        <v>5000</v>
      </c>
      <c r="L44" s="67">
        <v>10000</v>
      </c>
      <c r="M44" s="67"/>
      <c r="N44" s="123" t="s">
        <v>1105</v>
      </c>
      <c r="O44" s="133"/>
      <c r="P44" s="134"/>
      <c r="Q44" s="134"/>
      <c r="R44" s="134"/>
      <c r="S44" s="134"/>
      <c r="T44" s="134"/>
      <c r="U44" s="134"/>
      <c r="V44" s="134"/>
      <c r="W44" s="134"/>
      <c r="X44" s="90"/>
      <c r="Y44" s="90"/>
      <c r="Z44" s="132"/>
      <c r="AA44" s="132"/>
      <c r="AB44" s="132"/>
      <c r="AC44" s="132"/>
      <c r="AD44" s="132"/>
      <c r="AE44" s="132"/>
      <c r="AF44" s="132"/>
      <c r="AG44" s="132"/>
      <c r="AH44" s="132"/>
      <c r="AI44" s="132"/>
      <c r="AJ44" s="132"/>
      <c r="AK44" s="595"/>
      <c r="AL44" s="595"/>
      <c r="AM44" s="595"/>
      <c r="AN44" s="595"/>
      <c r="AO44" s="595"/>
      <c r="AP44" s="595"/>
      <c r="AQ44" s="90"/>
      <c r="AR44" s="112" t="s">
        <v>117</v>
      </c>
      <c r="AS44" s="123" t="s">
        <v>1106</v>
      </c>
      <c r="AT44" s="123" t="s">
        <v>1107</v>
      </c>
      <c r="AU44" s="93"/>
      <c r="AV44" s="600"/>
      <c r="AW44" s="840"/>
      <c r="AX44" s="840"/>
      <c r="AY44" s="840"/>
      <c r="AZ44" s="840"/>
      <c r="BA44" s="529"/>
      <c r="BB44" s="600"/>
      <c r="BC44" s="600"/>
      <c r="BD44" s="600"/>
      <c r="BE44" s="529"/>
      <c r="BF44" s="529"/>
      <c r="BG44" s="529"/>
      <c r="BH44" s="873"/>
      <c r="BI44" s="600"/>
      <c r="BJ44" s="201"/>
      <c r="BK44" s="201"/>
      <c r="BN44" s="7"/>
    </row>
    <row r="45" s="9" customFormat="1" ht="69.95" customHeight="1" spans="1:66">
      <c r="A45" s="23">
        <f>SUBTOTAL(3,C$9:C45)</f>
        <v>34</v>
      </c>
      <c r="B45" s="55" t="s">
        <v>1108</v>
      </c>
      <c r="C45" s="35" t="s">
        <v>562</v>
      </c>
      <c r="D45" s="60" t="s">
        <v>1109</v>
      </c>
      <c r="E45" s="35" t="s">
        <v>1049</v>
      </c>
      <c r="F45" s="67">
        <v>95454</v>
      </c>
      <c r="G45" s="136">
        <v>36700</v>
      </c>
      <c r="H45" s="134"/>
      <c r="I45" s="136"/>
      <c r="J45" s="136">
        <v>500</v>
      </c>
      <c r="K45" s="136">
        <v>1500</v>
      </c>
      <c r="L45" s="136">
        <v>2000</v>
      </c>
      <c r="M45" s="134"/>
      <c r="N45" s="244" t="s">
        <v>1110</v>
      </c>
      <c r="O45" s="133"/>
      <c r="P45" s="134"/>
      <c r="Q45" s="134"/>
      <c r="R45" s="134"/>
      <c r="S45" s="134"/>
      <c r="T45" s="134"/>
      <c r="U45" s="134"/>
      <c r="V45" s="134"/>
      <c r="W45" s="134"/>
      <c r="X45" s="90"/>
      <c r="Y45" s="90"/>
      <c r="Z45" s="132"/>
      <c r="AA45" s="132"/>
      <c r="AB45" s="132"/>
      <c r="AC45" s="132"/>
      <c r="AD45" s="132"/>
      <c r="AE45" s="132"/>
      <c r="AF45" s="132">
        <v>467.6325</v>
      </c>
      <c r="AG45" s="132">
        <v>452.6325</v>
      </c>
      <c r="AH45" s="132">
        <v>15</v>
      </c>
      <c r="AI45" s="132"/>
      <c r="AJ45" s="132"/>
      <c r="AK45" s="132"/>
      <c r="AL45" s="595"/>
      <c r="AM45" s="595"/>
      <c r="AN45" s="595"/>
      <c r="AO45" s="770"/>
      <c r="AP45" s="132">
        <v>2000</v>
      </c>
      <c r="AQ45" s="90"/>
      <c r="AR45" s="90" t="s">
        <v>1111</v>
      </c>
      <c r="AS45" s="34" t="s">
        <v>1003</v>
      </c>
      <c r="AT45" s="123" t="s">
        <v>1107</v>
      </c>
      <c r="AU45" s="91"/>
      <c r="AV45" s="600"/>
      <c r="AW45" s="840"/>
      <c r="AX45" s="840"/>
      <c r="AY45" s="840"/>
      <c r="AZ45" s="840"/>
      <c r="BA45" s="529"/>
      <c r="BB45" s="600"/>
      <c r="BC45" s="600"/>
      <c r="BD45" s="600"/>
      <c r="BE45" s="529"/>
      <c r="BF45" s="529"/>
      <c r="BG45" s="529"/>
      <c r="BH45" s="873"/>
      <c r="BI45" s="600"/>
      <c r="BJ45" s="201"/>
      <c r="BK45" s="201"/>
      <c r="BN45" s="7"/>
    </row>
    <row r="46" s="9" customFormat="1" ht="69.95" customHeight="1" spans="1:66">
      <c r="A46" s="23">
        <f>SUBTOTAL(3,C$9:C46)</f>
        <v>35</v>
      </c>
      <c r="B46" s="55" t="s">
        <v>1112</v>
      </c>
      <c r="C46" s="35" t="s">
        <v>562</v>
      </c>
      <c r="D46" s="669" t="s">
        <v>1113</v>
      </c>
      <c r="E46" s="670" t="s">
        <v>588</v>
      </c>
      <c r="F46" s="67">
        <v>79029</v>
      </c>
      <c r="G46" s="38">
        <v>2342</v>
      </c>
      <c r="H46" s="134"/>
      <c r="I46" s="67"/>
      <c r="J46" s="67">
        <v>6000</v>
      </c>
      <c r="K46" s="67">
        <v>14000</v>
      </c>
      <c r="L46" s="136">
        <v>20000</v>
      </c>
      <c r="M46" s="134"/>
      <c r="N46" s="123" t="s">
        <v>1114</v>
      </c>
      <c r="O46" s="133"/>
      <c r="P46" s="134"/>
      <c r="Q46" s="134"/>
      <c r="R46" s="134"/>
      <c r="S46" s="134"/>
      <c r="T46" s="134"/>
      <c r="U46" s="134"/>
      <c r="V46" s="134"/>
      <c r="W46" s="134"/>
      <c r="X46" s="90"/>
      <c r="Y46" s="90"/>
      <c r="Z46" s="132"/>
      <c r="AA46" s="132"/>
      <c r="AB46" s="132"/>
      <c r="AC46" s="132"/>
      <c r="AD46" s="132"/>
      <c r="AE46" s="132"/>
      <c r="AF46" s="132">
        <v>590.622</v>
      </c>
      <c r="AG46" s="132">
        <v>590.622</v>
      </c>
      <c r="AH46" s="132"/>
      <c r="AI46" s="132"/>
      <c r="AJ46" s="132"/>
      <c r="AK46" s="132"/>
      <c r="AL46" s="595"/>
      <c r="AM46" s="595"/>
      <c r="AN46" s="595"/>
      <c r="AO46" s="99">
        <v>5000</v>
      </c>
      <c r="AP46" s="132">
        <v>3000</v>
      </c>
      <c r="AQ46" s="90"/>
      <c r="AR46" s="669" t="s">
        <v>1115</v>
      </c>
      <c r="AS46" s="34" t="s">
        <v>1003</v>
      </c>
      <c r="AT46" s="123" t="s">
        <v>1107</v>
      </c>
      <c r="AU46" s="91"/>
      <c r="AV46" s="600"/>
      <c r="AW46" s="840"/>
      <c r="AX46" s="840"/>
      <c r="AY46" s="840"/>
      <c r="AZ46" s="840"/>
      <c r="BA46" s="529"/>
      <c r="BB46" s="600"/>
      <c r="BC46" s="600"/>
      <c r="BD46" s="600"/>
      <c r="BE46" s="529"/>
      <c r="BF46" s="529"/>
      <c r="BG46" s="529"/>
      <c r="BH46" s="873"/>
      <c r="BI46" s="600"/>
      <c r="BJ46" s="201"/>
      <c r="BK46" s="201"/>
      <c r="BN46" s="7"/>
    </row>
    <row r="47" s="9" customFormat="1" ht="80.1" customHeight="1" spans="1:66">
      <c r="A47" s="23">
        <f>SUBTOTAL(3,C$9:C47)</f>
        <v>36</v>
      </c>
      <c r="B47" s="60" t="s">
        <v>1116</v>
      </c>
      <c r="C47" s="23" t="s">
        <v>810</v>
      </c>
      <c r="D47" s="66" t="s">
        <v>1117</v>
      </c>
      <c r="E47" s="23" t="s">
        <v>832</v>
      </c>
      <c r="F47" s="35">
        <v>178001</v>
      </c>
      <c r="G47" s="35">
        <v>130632</v>
      </c>
      <c r="H47" s="81" t="s">
        <v>122</v>
      </c>
      <c r="I47" s="37">
        <v>15000</v>
      </c>
      <c r="J47" s="37">
        <v>47369</v>
      </c>
      <c r="K47" s="37">
        <v>47369</v>
      </c>
      <c r="L47" s="37">
        <v>47369</v>
      </c>
      <c r="M47" s="134"/>
      <c r="N47" s="123" t="s">
        <v>971</v>
      </c>
      <c r="O47" s="133"/>
      <c r="P47" s="134"/>
      <c r="Q47" s="134"/>
      <c r="R47" s="134"/>
      <c r="S47" s="134"/>
      <c r="T47" s="134"/>
      <c r="U47" s="134"/>
      <c r="V47" s="134"/>
      <c r="W47" s="134"/>
      <c r="X47" s="90"/>
      <c r="Y47" s="90"/>
      <c r="Z47" s="132"/>
      <c r="AA47" s="132"/>
      <c r="AB47" s="132"/>
      <c r="AC47" s="132"/>
      <c r="AD47" s="132"/>
      <c r="AE47" s="132"/>
      <c r="AF47" s="132"/>
      <c r="AG47" s="132"/>
      <c r="AH47" s="132"/>
      <c r="AI47" s="132"/>
      <c r="AJ47" s="132"/>
      <c r="AK47" s="132"/>
      <c r="AL47" s="595"/>
      <c r="AM47" s="595"/>
      <c r="AN47" s="595"/>
      <c r="AO47" s="595"/>
      <c r="AP47" s="595"/>
      <c r="AQ47" s="90"/>
      <c r="AR47" s="112" t="s">
        <v>117</v>
      </c>
      <c r="AS47" s="123" t="s">
        <v>1118</v>
      </c>
      <c r="AT47" s="123" t="s">
        <v>1107</v>
      </c>
      <c r="AU47" s="91"/>
      <c r="AV47" s="600"/>
      <c r="AW47" s="840"/>
      <c r="AX47" s="840"/>
      <c r="AY47" s="840"/>
      <c r="AZ47" s="840"/>
      <c r="BA47" s="529"/>
      <c r="BB47" s="600"/>
      <c r="BC47" s="600"/>
      <c r="BD47" s="600"/>
      <c r="BE47" s="529"/>
      <c r="BF47" s="529"/>
      <c r="BG47" s="529"/>
      <c r="BH47" s="873"/>
      <c r="BI47" s="600"/>
      <c r="BJ47" s="201"/>
      <c r="BK47" s="201"/>
      <c r="BN47" s="7"/>
    </row>
    <row r="48" ht="69.95" customHeight="1" spans="1:47">
      <c r="A48" s="23">
        <f>SUBTOTAL(3,C$9:C48)</f>
        <v>37</v>
      </c>
      <c r="B48" s="55" t="s">
        <v>1119</v>
      </c>
      <c r="C48" s="35" t="s">
        <v>562</v>
      </c>
      <c r="D48" s="55" t="s">
        <v>1120</v>
      </c>
      <c r="E48" s="35" t="s">
        <v>627</v>
      </c>
      <c r="F48" s="35">
        <v>76600</v>
      </c>
      <c r="G48" s="35">
        <v>40470</v>
      </c>
      <c r="H48" s="134"/>
      <c r="I48" s="67">
        <v>500</v>
      </c>
      <c r="J48" s="67">
        <v>4500</v>
      </c>
      <c r="K48" s="67">
        <v>10000</v>
      </c>
      <c r="L48" s="35">
        <v>15000</v>
      </c>
      <c r="M48" s="134"/>
      <c r="N48" s="123" t="s">
        <v>1121</v>
      </c>
      <c r="O48" s="133"/>
      <c r="P48" s="134"/>
      <c r="Q48" s="134"/>
      <c r="R48" s="134"/>
      <c r="S48" s="134"/>
      <c r="T48" s="134"/>
      <c r="U48" s="134"/>
      <c r="V48" s="134"/>
      <c r="W48" s="134"/>
      <c r="X48" s="90"/>
      <c r="Y48" s="90"/>
      <c r="Z48" s="132"/>
      <c r="AA48" s="132"/>
      <c r="AB48" s="132"/>
      <c r="AC48" s="132"/>
      <c r="AD48" s="132"/>
      <c r="AE48" s="132"/>
      <c r="AF48" s="132"/>
      <c r="AG48" s="132"/>
      <c r="AH48" s="132"/>
      <c r="AI48" s="132"/>
      <c r="AJ48" s="132"/>
      <c r="AK48" s="132"/>
      <c r="AL48" s="595"/>
      <c r="AM48" s="595"/>
      <c r="AN48" s="595"/>
      <c r="AO48" s="595"/>
      <c r="AP48" s="595"/>
      <c r="AQ48" s="90"/>
      <c r="AR48" s="90" t="s">
        <v>117</v>
      </c>
      <c r="AS48" s="34" t="s">
        <v>1122</v>
      </c>
      <c r="AT48" s="34" t="s">
        <v>1118</v>
      </c>
      <c r="AU48" s="34"/>
    </row>
    <row r="49" s="9" customFormat="1" ht="69.95" customHeight="1" spans="1:66">
      <c r="A49" s="23">
        <f>SUBTOTAL(3,C$9:C49)</f>
        <v>38</v>
      </c>
      <c r="B49" s="55" t="s">
        <v>1123</v>
      </c>
      <c r="C49" s="35" t="s">
        <v>810</v>
      </c>
      <c r="D49" s="34" t="s">
        <v>1124</v>
      </c>
      <c r="E49" s="35" t="s">
        <v>827</v>
      </c>
      <c r="F49" s="35">
        <v>13387</v>
      </c>
      <c r="G49" s="35">
        <v>9869</v>
      </c>
      <c r="H49" s="81" t="s">
        <v>131</v>
      </c>
      <c r="I49" s="37">
        <v>800</v>
      </c>
      <c r="J49" s="37">
        <v>1500</v>
      </c>
      <c r="K49" s="37">
        <v>2500</v>
      </c>
      <c r="L49" s="36">
        <v>3518</v>
      </c>
      <c r="M49" s="134"/>
      <c r="N49" s="123" t="s">
        <v>971</v>
      </c>
      <c r="O49" s="133"/>
      <c r="P49" s="134"/>
      <c r="Q49" s="134"/>
      <c r="R49" s="134"/>
      <c r="S49" s="134"/>
      <c r="T49" s="134"/>
      <c r="U49" s="134"/>
      <c r="V49" s="134"/>
      <c r="W49" s="134"/>
      <c r="X49" s="90"/>
      <c r="Y49" s="90"/>
      <c r="Z49" s="132"/>
      <c r="AA49" s="132"/>
      <c r="AB49" s="132"/>
      <c r="AC49" s="132"/>
      <c r="AD49" s="132"/>
      <c r="AE49" s="132"/>
      <c r="AF49" s="132"/>
      <c r="AG49" s="132"/>
      <c r="AH49" s="132"/>
      <c r="AI49" s="132"/>
      <c r="AJ49" s="132"/>
      <c r="AK49" s="132"/>
      <c r="AL49" s="595"/>
      <c r="AM49" s="595"/>
      <c r="AN49" s="595"/>
      <c r="AO49" s="595"/>
      <c r="AP49" s="595"/>
      <c r="AQ49" s="90"/>
      <c r="AR49" s="112" t="s">
        <v>117</v>
      </c>
      <c r="AS49" s="34" t="s">
        <v>1125</v>
      </c>
      <c r="AT49" s="34" t="s">
        <v>1118</v>
      </c>
      <c r="AU49" s="91"/>
      <c r="AV49" s="600"/>
      <c r="AW49" s="840"/>
      <c r="AX49" s="840"/>
      <c r="AY49" s="840"/>
      <c r="AZ49" s="840"/>
      <c r="BA49" s="529"/>
      <c r="BB49" s="600"/>
      <c r="BC49" s="600"/>
      <c r="BD49" s="600"/>
      <c r="BE49" s="529"/>
      <c r="BF49" s="529"/>
      <c r="BG49" s="529"/>
      <c r="BH49" s="873"/>
      <c r="BI49" s="600"/>
      <c r="BJ49" s="201"/>
      <c r="BK49" s="201"/>
      <c r="BN49" s="7"/>
    </row>
    <row r="50" s="9" customFormat="1" ht="69.95" customHeight="1" spans="1:66">
      <c r="A50" s="23">
        <f>SUBTOTAL(3,C$9:C50)</f>
        <v>39</v>
      </c>
      <c r="B50" s="60" t="s">
        <v>1126</v>
      </c>
      <c r="C50" s="23" t="s">
        <v>79</v>
      </c>
      <c r="D50" s="88" t="s">
        <v>1127</v>
      </c>
      <c r="E50" s="23" t="s">
        <v>81</v>
      </c>
      <c r="F50" s="67">
        <v>65800</v>
      </c>
      <c r="G50" s="67"/>
      <c r="H50" s="81" t="s">
        <v>131</v>
      </c>
      <c r="I50" s="81"/>
      <c r="J50" s="81"/>
      <c r="K50" s="81"/>
      <c r="L50" s="67">
        <v>3000</v>
      </c>
      <c r="M50" s="67"/>
      <c r="N50" s="123" t="s">
        <v>284</v>
      </c>
      <c r="O50" s="133"/>
      <c r="P50" s="134"/>
      <c r="Q50" s="134"/>
      <c r="R50" s="134"/>
      <c r="S50" s="134"/>
      <c r="T50" s="134"/>
      <c r="U50" s="134"/>
      <c r="V50" s="134"/>
      <c r="W50" s="134"/>
      <c r="X50" s="90"/>
      <c r="Y50" s="90"/>
      <c r="Z50" s="251"/>
      <c r="AA50" s="251"/>
      <c r="AB50" s="251"/>
      <c r="AC50" s="251"/>
      <c r="AD50" s="251"/>
      <c r="AE50" s="251"/>
      <c r="AF50" s="251"/>
      <c r="AG50" s="251"/>
      <c r="AH50" s="251"/>
      <c r="AI50" s="251"/>
      <c r="AJ50" s="251"/>
      <c r="AK50" s="595"/>
      <c r="AL50" s="595"/>
      <c r="AM50" s="595"/>
      <c r="AN50" s="595"/>
      <c r="AO50" s="595"/>
      <c r="AP50" s="595"/>
      <c r="AQ50" s="90"/>
      <c r="AR50" s="112" t="s">
        <v>1128</v>
      </c>
      <c r="AS50" s="123" t="s">
        <v>1003</v>
      </c>
      <c r="AT50" s="123" t="s">
        <v>119</v>
      </c>
      <c r="AU50" s="93"/>
      <c r="AV50" s="600"/>
      <c r="AW50" s="840"/>
      <c r="AX50" s="840"/>
      <c r="AY50" s="840"/>
      <c r="AZ50" s="840"/>
      <c r="BA50" s="529"/>
      <c r="BB50" s="600"/>
      <c r="BC50" s="600"/>
      <c r="BD50" s="600"/>
      <c r="BE50" s="529"/>
      <c r="BF50" s="529"/>
      <c r="BG50" s="529"/>
      <c r="BH50" s="873"/>
      <c r="BI50" s="600"/>
      <c r="BJ50" s="201"/>
      <c r="BK50" s="201"/>
      <c r="BN50" s="7"/>
    </row>
    <row r="51" s="9" customFormat="1" ht="69.95" customHeight="1" spans="1:66">
      <c r="A51" s="23">
        <f>SUBTOTAL(3,C$9:C51)</f>
        <v>40</v>
      </c>
      <c r="B51" s="55" t="s">
        <v>1129</v>
      </c>
      <c r="C51" s="35" t="s">
        <v>79</v>
      </c>
      <c r="D51" s="55" t="s">
        <v>1130</v>
      </c>
      <c r="E51" s="35">
        <v>2019</v>
      </c>
      <c r="F51" s="38">
        <v>13500</v>
      </c>
      <c r="G51" s="38"/>
      <c r="H51" s="81" t="s">
        <v>353</v>
      </c>
      <c r="I51" s="578">
        <v>500</v>
      </c>
      <c r="J51" s="578">
        <v>4000</v>
      </c>
      <c r="K51" s="578">
        <v>8000</v>
      </c>
      <c r="L51" s="38">
        <v>13500</v>
      </c>
      <c r="M51" s="38"/>
      <c r="N51" s="112" t="s">
        <v>1131</v>
      </c>
      <c r="O51" s="133"/>
      <c r="P51" s="134"/>
      <c r="Q51" s="134"/>
      <c r="R51" s="134"/>
      <c r="S51" s="134"/>
      <c r="T51" s="134"/>
      <c r="U51" s="134"/>
      <c r="V51" s="134"/>
      <c r="W51" s="134"/>
      <c r="X51" s="90"/>
      <c r="Y51" s="90"/>
      <c r="Z51" s="251"/>
      <c r="AA51" s="251"/>
      <c r="AB51" s="251"/>
      <c r="AC51" s="251"/>
      <c r="AD51" s="251"/>
      <c r="AE51" s="251"/>
      <c r="AF51" s="251"/>
      <c r="AG51" s="251"/>
      <c r="AH51" s="251"/>
      <c r="AI51" s="251"/>
      <c r="AJ51" s="251"/>
      <c r="AK51" s="595"/>
      <c r="AL51" s="595"/>
      <c r="AM51" s="595"/>
      <c r="AN51" s="595"/>
      <c r="AO51" s="132">
        <v>8000</v>
      </c>
      <c r="AP51" s="132">
        <v>5500</v>
      </c>
      <c r="AQ51" s="90"/>
      <c r="AR51" s="112" t="s">
        <v>1132</v>
      </c>
      <c r="AS51" s="123" t="s">
        <v>1003</v>
      </c>
      <c r="AT51" s="123" t="s">
        <v>119</v>
      </c>
      <c r="AU51" s="93" t="s">
        <v>1133</v>
      </c>
      <c r="AV51" s="600"/>
      <c r="AW51" s="840"/>
      <c r="AX51" s="840"/>
      <c r="AY51" s="840"/>
      <c r="AZ51" s="840"/>
      <c r="BA51" s="529"/>
      <c r="BB51" s="600"/>
      <c r="BC51" s="600"/>
      <c r="BD51" s="600"/>
      <c r="BE51" s="529"/>
      <c r="BF51" s="529"/>
      <c r="BG51" s="529"/>
      <c r="BH51" s="873"/>
      <c r="BI51" s="600"/>
      <c r="BJ51" s="201"/>
      <c r="BK51" s="201"/>
      <c r="BN51" s="7"/>
    </row>
    <row r="52" s="9" customFormat="1" ht="27" hidden="1" customHeight="1" spans="1:66">
      <c r="A52" s="557"/>
      <c r="B52" s="557" t="str">
        <f>"铁路（"&amp;SUBTOTAL(3,C53:C55)&amp;"个）"</f>
        <v>铁路（3个）</v>
      </c>
      <c r="C52" s="557"/>
      <c r="D52" s="557"/>
      <c r="E52" s="35"/>
      <c r="F52" s="134">
        <f>SUBTOTAL(9,F53:F55)</f>
        <v>137500</v>
      </c>
      <c r="G52" s="134">
        <f t="shared" ref="G52:M52" si="9">SUBTOTAL(9,G53:G55)</f>
        <v>35000</v>
      </c>
      <c r="H52" s="134"/>
      <c r="I52" s="134">
        <f t="shared" si="9"/>
        <v>13000</v>
      </c>
      <c r="J52" s="134">
        <f t="shared" si="9"/>
        <v>26000</v>
      </c>
      <c r="K52" s="134">
        <f t="shared" si="9"/>
        <v>38000</v>
      </c>
      <c r="L52" s="134">
        <f t="shared" si="9"/>
        <v>59000</v>
      </c>
      <c r="M52" s="134">
        <f t="shared" si="9"/>
        <v>0</v>
      </c>
      <c r="N52" s="134"/>
      <c r="O52" s="133"/>
      <c r="P52" s="134"/>
      <c r="Q52" s="134"/>
      <c r="R52" s="134"/>
      <c r="S52" s="134"/>
      <c r="T52" s="134"/>
      <c r="U52" s="134"/>
      <c r="V52" s="134"/>
      <c r="W52" s="134"/>
      <c r="X52" s="90"/>
      <c r="Y52" s="90"/>
      <c r="Z52" s="134">
        <f t="shared" ref="Z52:AP52" si="10">SUBTOTAL(9,Z54:Z55)</f>
        <v>1182</v>
      </c>
      <c r="AA52" s="134">
        <f t="shared" si="10"/>
        <v>1052</v>
      </c>
      <c r="AB52" s="134">
        <f t="shared" si="10"/>
        <v>130</v>
      </c>
      <c r="AC52" s="134">
        <f t="shared" si="10"/>
        <v>0</v>
      </c>
      <c r="AD52" s="134">
        <f t="shared" si="10"/>
        <v>0</v>
      </c>
      <c r="AE52" s="134">
        <f t="shared" si="10"/>
        <v>0</v>
      </c>
      <c r="AF52" s="134">
        <f t="shared" si="10"/>
        <v>130</v>
      </c>
      <c r="AG52" s="134">
        <f t="shared" si="10"/>
        <v>0</v>
      </c>
      <c r="AH52" s="134">
        <f t="shared" si="10"/>
        <v>130</v>
      </c>
      <c r="AI52" s="134">
        <f t="shared" si="10"/>
        <v>0</v>
      </c>
      <c r="AJ52" s="134">
        <f t="shared" si="10"/>
        <v>0</v>
      </c>
      <c r="AK52" s="134">
        <f t="shared" si="10"/>
        <v>0</v>
      </c>
      <c r="AL52" s="134">
        <f t="shared" si="10"/>
        <v>0</v>
      </c>
      <c r="AM52" s="134">
        <f t="shared" si="10"/>
        <v>0</v>
      </c>
      <c r="AN52" s="134">
        <f t="shared" si="10"/>
        <v>0</v>
      </c>
      <c r="AO52" s="134">
        <f t="shared" si="10"/>
        <v>0</v>
      </c>
      <c r="AP52" s="134">
        <f t="shared" si="10"/>
        <v>54000</v>
      </c>
      <c r="AQ52" s="90"/>
      <c r="AR52" s="112"/>
      <c r="AS52" s="55"/>
      <c r="AT52" s="35"/>
      <c r="AU52" s="91"/>
      <c r="AV52" s="600"/>
      <c r="AW52" s="840"/>
      <c r="AX52" s="840"/>
      <c r="AY52" s="840"/>
      <c r="AZ52" s="840"/>
      <c r="BA52" s="529"/>
      <c r="BB52" s="600"/>
      <c r="BC52" s="600"/>
      <c r="BD52" s="600"/>
      <c r="BE52" s="529"/>
      <c r="BF52" s="529"/>
      <c r="BG52" s="529"/>
      <c r="BH52" s="873"/>
      <c r="BI52" s="600"/>
      <c r="BJ52" s="201"/>
      <c r="BK52" s="201"/>
      <c r="BN52" s="7"/>
    </row>
    <row r="53" s="9" customFormat="1" ht="84.75" customHeight="1" spans="1:66">
      <c r="A53" s="23">
        <f>SUBTOTAL(3,C$9:C53)</f>
        <v>41</v>
      </c>
      <c r="B53" s="55" t="s">
        <v>1134</v>
      </c>
      <c r="C53" s="35" t="s">
        <v>79</v>
      </c>
      <c r="D53" s="55" t="s">
        <v>1135</v>
      </c>
      <c r="E53" s="35" t="s">
        <v>112</v>
      </c>
      <c r="F53" s="36">
        <v>17500</v>
      </c>
      <c r="G53" s="36"/>
      <c r="H53" s="81" t="s">
        <v>209</v>
      </c>
      <c r="I53" s="81"/>
      <c r="J53" s="578"/>
      <c r="K53" s="578">
        <v>2000</v>
      </c>
      <c r="L53" s="38">
        <v>5000</v>
      </c>
      <c r="M53" s="38"/>
      <c r="N53" s="123" t="s">
        <v>284</v>
      </c>
      <c r="O53" s="133"/>
      <c r="P53" s="134"/>
      <c r="Q53" s="134"/>
      <c r="R53" s="134"/>
      <c r="S53" s="134"/>
      <c r="T53" s="134"/>
      <c r="U53" s="134"/>
      <c r="V53" s="134"/>
      <c r="W53" s="134"/>
      <c r="X53" s="90"/>
      <c r="Y53" s="90"/>
      <c r="Z53" s="132">
        <v>90</v>
      </c>
      <c r="AA53" s="132"/>
      <c r="AB53" s="132">
        <v>90</v>
      </c>
      <c r="AC53" s="132"/>
      <c r="AD53" s="132"/>
      <c r="AE53" s="132"/>
      <c r="AF53" s="132"/>
      <c r="AG53" s="132"/>
      <c r="AH53" s="132"/>
      <c r="AI53" s="132">
        <v>90</v>
      </c>
      <c r="AJ53" s="132"/>
      <c r="AK53" s="132">
        <v>90</v>
      </c>
      <c r="AL53" s="132"/>
      <c r="AM53" s="132"/>
      <c r="AN53" s="132"/>
      <c r="AO53" s="132"/>
      <c r="AP53" s="132"/>
      <c r="AQ53" s="90"/>
      <c r="AR53" s="112" t="s">
        <v>1136</v>
      </c>
      <c r="AS53" s="34" t="s">
        <v>1137</v>
      </c>
      <c r="AT53" s="34" t="s">
        <v>1138</v>
      </c>
      <c r="AU53" s="92" t="s">
        <v>1139</v>
      </c>
      <c r="AV53" s="600"/>
      <c r="AW53" s="840"/>
      <c r="AX53" s="840"/>
      <c r="AY53" s="840"/>
      <c r="AZ53" s="840"/>
      <c r="BA53" s="529"/>
      <c r="BB53" s="600"/>
      <c r="BC53" s="600"/>
      <c r="BD53" s="600"/>
      <c r="BE53" s="529"/>
      <c r="BF53" s="529"/>
      <c r="BG53" s="529"/>
      <c r="BH53" s="873"/>
      <c r="BI53" s="600"/>
      <c r="BJ53" s="201"/>
      <c r="BK53" s="201"/>
      <c r="BN53" s="7"/>
    </row>
    <row r="54" s="9" customFormat="1" ht="80.1" customHeight="1" spans="1:66">
      <c r="A54" s="23">
        <f>SUBTOTAL(3,C$9:C54)</f>
        <v>42</v>
      </c>
      <c r="B54" s="55" t="s">
        <v>1140</v>
      </c>
      <c r="C54" s="35" t="s">
        <v>562</v>
      </c>
      <c r="D54" s="55" t="s">
        <v>1141</v>
      </c>
      <c r="E54" s="35" t="s">
        <v>575</v>
      </c>
      <c r="F54" s="36">
        <v>86000</v>
      </c>
      <c r="G54" s="38">
        <v>15000</v>
      </c>
      <c r="H54" s="134"/>
      <c r="I54" s="67">
        <v>6000</v>
      </c>
      <c r="J54" s="67">
        <v>12000</v>
      </c>
      <c r="K54" s="67">
        <v>22000</v>
      </c>
      <c r="L54" s="38">
        <v>40000</v>
      </c>
      <c r="M54" s="134"/>
      <c r="N54" s="123" t="s">
        <v>1142</v>
      </c>
      <c r="O54" s="133"/>
      <c r="P54" s="134"/>
      <c r="Q54" s="134"/>
      <c r="R54" s="134"/>
      <c r="S54" s="134"/>
      <c r="T54" s="134"/>
      <c r="U54" s="134"/>
      <c r="V54" s="134"/>
      <c r="W54" s="134"/>
      <c r="X54" s="90"/>
      <c r="Y54" s="90"/>
      <c r="Z54" s="132">
        <v>1182</v>
      </c>
      <c r="AA54" s="132">
        <v>1052</v>
      </c>
      <c r="AB54" s="132">
        <v>130</v>
      </c>
      <c r="AC54" s="132"/>
      <c r="AD54" s="132"/>
      <c r="AE54" s="132"/>
      <c r="AF54" s="132">
        <v>130</v>
      </c>
      <c r="AG54" s="132"/>
      <c r="AH54" s="132">
        <v>130</v>
      </c>
      <c r="AI54" s="132"/>
      <c r="AJ54" s="132"/>
      <c r="AK54" s="132"/>
      <c r="AL54" s="132"/>
      <c r="AM54" s="132"/>
      <c r="AN54" s="132"/>
      <c r="AO54" s="132"/>
      <c r="AP54" s="132">
        <f>L54-SUM(AL54:AO54)</f>
        <v>40000</v>
      </c>
      <c r="AQ54" s="90"/>
      <c r="AR54" s="90" t="s">
        <v>1143</v>
      </c>
      <c r="AS54" s="34" t="s">
        <v>1137</v>
      </c>
      <c r="AT54" s="34" t="s">
        <v>1144</v>
      </c>
      <c r="AU54" s="35" t="s">
        <v>1139</v>
      </c>
      <c r="AV54" s="600"/>
      <c r="AW54" s="840"/>
      <c r="AX54" s="840"/>
      <c r="AY54" s="840"/>
      <c r="AZ54" s="840"/>
      <c r="BA54" s="529"/>
      <c r="BB54" s="600"/>
      <c r="BC54" s="600"/>
      <c r="BD54" s="600"/>
      <c r="BE54" s="529"/>
      <c r="BF54" s="529"/>
      <c r="BG54" s="529"/>
      <c r="BH54" s="873"/>
      <c r="BI54" s="600"/>
      <c r="BJ54" s="201"/>
      <c r="BK54" s="201"/>
      <c r="BN54" s="7"/>
    </row>
    <row r="55" s="9" customFormat="1" ht="69.95" customHeight="1" spans="1:66">
      <c r="A55" s="23">
        <f>SUBTOTAL(3,C$9:C55)</f>
        <v>43</v>
      </c>
      <c r="B55" s="55" t="s">
        <v>1145</v>
      </c>
      <c r="C55" s="35" t="s">
        <v>810</v>
      </c>
      <c r="D55" s="34" t="s">
        <v>1146</v>
      </c>
      <c r="E55" s="35" t="s">
        <v>812</v>
      </c>
      <c r="F55" s="36">
        <v>34000</v>
      </c>
      <c r="G55" s="38">
        <v>20000</v>
      </c>
      <c r="H55" s="81" t="s">
        <v>144</v>
      </c>
      <c r="I55" s="38">
        <v>7000</v>
      </c>
      <c r="J55" s="38">
        <v>14000</v>
      </c>
      <c r="K55" s="38">
        <v>14000</v>
      </c>
      <c r="L55" s="38">
        <v>14000</v>
      </c>
      <c r="M55" s="134"/>
      <c r="N55" s="123" t="s">
        <v>971</v>
      </c>
      <c r="O55" s="67"/>
      <c r="P55" s="67"/>
      <c r="Q55" s="115"/>
      <c r="R55" s="115"/>
      <c r="S55" s="115"/>
      <c r="T55" s="115"/>
      <c r="U55" s="115"/>
      <c r="V55" s="115"/>
      <c r="W55" s="115"/>
      <c r="X55" s="674"/>
      <c r="Y55" s="674"/>
      <c r="Z55" s="860"/>
      <c r="AA55" s="860"/>
      <c r="AB55" s="860"/>
      <c r="AC55" s="860"/>
      <c r="AD55" s="860"/>
      <c r="AE55" s="860"/>
      <c r="AF55" s="860"/>
      <c r="AG55" s="860"/>
      <c r="AH55" s="860"/>
      <c r="AI55" s="860"/>
      <c r="AJ55" s="860"/>
      <c r="AK55" s="860"/>
      <c r="AL55" s="132"/>
      <c r="AM55" s="132"/>
      <c r="AN55" s="132"/>
      <c r="AO55" s="132"/>
      <c r="AP55" s="132">
        <f>L55-SUM(AL55:AO55)</f>
        <v>14000</v>
      </c>
      <c r="AQ55" s="90"/>
      <c r="AR55" s="112" t="s">
        <v>117</v>
      </c>
      <c r="AS55" s="34" t="s">
        <v>1137</v>
      </c>
      <c r="AT55" s="34" t="s">
        <v>950</v>
      </c>
      <c r="AU55" s="35" t="s">
        <v>1139</v>
      </c>
      <c r="AV55" s="600"/>
      <c r="AW55" s="840"/>
      <c r="AX55" s="840"/>
      <c r="AY55" s="840"/>
      <c r="AZ55" s="840"/>
      <c r="BA55" s="529"/>
      <c r="BB55" s="600"/>
      <c r="BC55" s="600"/>
      <c r="BD55" s="600"/>
      <c r="BE55" s="529"/>
      <c r="BF55" s="529"/>
      <c r="BG55" s="529"/>
      <c r="BH55" s="873"/>
      <c r="BI55" s="600"/>
      <c r="BJ55" s="201"/>
      <c r="BK55" s="201"/>
      <c r="BN55" s="7"/>
    </row>
    <row r="56" s="9" customFormat="1" ht="23.1" hidden="1" customHeight="1" spans="1:66">
      <c r="A56" s="557"/>
      <c r="B56" s="557" t="str">
        <f>"公路（"&amp;SUBTOTAL(3,C57:C75)&amp;"个）"</f>
        <v>公路（19个）</v>
      </c>
      <c r="C56" s="557"/>
      <c r="D56" s="557"/>
      <c r="E56" s="35"/>
      <c r="F56" s="134">
        <f>SUBTOTAL(9,F57:F75)</f>
        <v>832821.8</v>
      </c>
      <c r="G56" s="134">
        <f t="shared" ref="G56:M56" si="11">SUBTOTAL(9,G57:G75)</f>
        <v>76510</v>
      </c>
      <c r="H56" s="134"/>
      <c r="I56" s="134">
        <f t="shared" si="11"/>
        <v>9880</v>
      </c>
      <c r="J56" s="134">
        <f t="shared" si="11"/>
        <v>32700</v>
      </c>
      <c r="K56" s="134">
        <f t="shared" si="11"/>
        <v>59153</v>
      </c>
      <c r="L56" s="134">
        <f t="shared" si="11"/>
        <v>93658.8</v>
      </c>
      <c r="M56" s="134">
        <f t="shared" si="11"/>
        <v>0</v>
      </c>
      <c r="N56" s="134"/>
      <c r="O56" s="133"/>
      <c r="P56" s="134"/>
      <c r="Q56" s="134"/>
      <c r="R56" s="134"/>
      <c r="S56" s="134"/>
      <c r="T56" s="134"/>
      <c r="U56" s="134"/>
      <c r="V56" s="134"/>
      <c r="W56" s="134"/>
      <c r="X56" s="90"/>
      <c r="Y56" s="90"/>
      <c r="Z56" s="134">
        <f t="shared" ref="Z56:AP56" si="12">SUBTOTAL(9,Z57:Z75)</f>
        <v>9614.265</v>
      </c>
      <c r="AA56" s="134">
        <f t="shared" si="12"/>
        <v>5857.615</v>
      </c>
      <c r="AB56" s="134">
        <f t="shared" si="12"/>
        <v>3757</v>
      </c>
      <c r="AC56" s="134">
        <f t="shared" si="12"/>
        <v>2548.744</v>
      </c>
      <c r="AD56" s="134">
        <f t="shared" si="12"/>
        <v>1933.844</v>
      </c>
      <c r="AE56" s="134">
        <f t="shared" si="12"/>
        <v>616</v>
      </c>
      <c r="AF56" s="134">
        <f t="shared" si="12"/>
        <v>0</v>
      </c>
      <c r="AG56" s="134">
        <f t="shared" si="12"/>
        <v>0</v>
      </c>
      <c r="AH56" s="134">
        <f t="shared" si="12"/>
        <v>0</v>
      </c>
      <c r="AI56" s="134">
        <f t="shared" si="12"/>
        <v>4082.23</v>
      </c>
      <c r="AJ56" s="134">
        <f t="shared" si="12"/>
        <v>3543.96</v>
      </c>
      <c r="AK56" s="134">
        <f t="shared" si="12"/>
        <v>504.75</v>
      </c>
      <c r="AL56" s="134">
        <f t="shared" si="12"/>
        <v>0</v>
      </c>
      <c r="AM56" s="134">
        <f t="shared" si="12"/>
        <v>0</v>
      </c>
      <c r="AN56" s="134">
        <f t="shared" si="12"/>
        <v>0</v>
      </c>
      <c r="AO56" s="134">
        <f t="shared" si="12"/>
        <v>21888.81</v>
      </c>
      <c r="AP56" s="134">
        <f t="shared" si="12"/>
        <v>98443</v>
      </c>
      <c r="AQ56" s="90"/>
      <c r="AR56" s="112"/>
      <c r="AS56" s="55"/>
      <c r="AT56" s="35"/>
      <c r="AU56" s="35"/>
      <c r="AV56" s="600"/>
      <c r="AW56" s="840"/>
      <c r="AX56" s="840"/>
      <c r="AY56" s="840"/>
      <c r="AZ56" s="840"/>
      <c r="BA56" s="529"/>
      <c r="BB56" s="600"/>
      <c r="BC56" s="600"/>
      <c r="BD56" s="600"/>
      <c r="BE56" s="529"/>
      <c r="BF56" s="529"/>
      <c r="BG56" s="529"/>
      <c r="BH56" s="873"/>
      <c r="BI56" s="600"/>
      <c r="BJ56" s="201"/>
      <c r="BK56" s="201"/>
      <c r="BN56" s="7"/>
    </row>
    <row r="57" s="9" customFormat="1" ht="75" customHeight="1" spans="1:66">
      <c r="A57" s="23">
        <f>SUBTOTAL(3,C$9:C57)</f>
        <v>44</v>
      </c>
      <c r="B57" s="55" t="s">
        <v>1147</v>
      </c>
      <c r="C57" s="35" t="s">
        <v>79</v>
      </c>
      <c r="D57" s="55" t="s">
        <v>1148</v>
      </c>
      <c r="E57" s="35" t="s">
        <v>112</v>
      </c>
      <c r="F57" s="36">
        <v>400000</v>
      </c>
      <c r="G57" s="36"/>
      <c r="H57" s="81" t="s">
        <v>122</v>
      </c>
      <c r="I57" s="81"/>
      <c r="J57" s="81"/>
      <c r="K57" s="37">
        <v>2000</v>
      </c>
      <c r="L57" s="36">
        <v>10000</v>
      </c>
      <c r="M57" s="36"/>
      <c r="N57" s="112" t="s">
        <v>1149</v>
      </c>
      <c r="O57" s="133"/>
      <c r="P57" s="134"/>
      <c r="Q57" s="134"/>
      <c r="R57" s="134"/>
      <c r="S57" s="134"/>
      <c r="T57" s="134"/>
      <c r="U57" s="134"/>
      <c r="V57" s="134"/>
      <c r="W57" s="134"/>
      <c r="X57" s="90"/>
      <c r="Y57" s="90"/>
      <c r="Z57" s="252">
        <v>449.93</v>
      </c>
      <c r="AA57" s="252"/>
      <c r="AB57" s="252">
        <v>450</v>
      </c>
      <c r="AC57" s="252">
        <v>91.8</v>
      </c>
      <c r="AD57" s="252"/>
      <c r="AE57" s="252">
        <v>92</v>
      </c>
      <c r="AF57" s="252"/>
      <c r="AG57" s="252"/>
      <c r="AH57" s="252"/>
      <c r="AI57" s="252">
        <v>11.17</v>
      </c>
      <c r="AJ57" s="252"/>
      <c r="AK57" s="252">
        <v>11.17</v>
      </c>
      <c r="AL57" s="595"/>
      <c r="AM57" s="595"/>
      <c r="AN57" s="595"/>
      <c r="AO57" s="132">
        <v>10000</v>
      </c>
      <c r="AP57" s="132"/>
      <c r="AQ57" s="90"/>
      <c r="AR57" s="112" t="s">
        <v>1150</v>
      </c>
      <c r="AS57" s="86" t="s">
        <v>1151</v>
      </c>
      <c r="AT57" s="34" t="s">
        <v>950</v>
      </c>
      <c r="AU57" s="93"/>
      <c r="AV57" s="600"/>
      <c r="AW57" s="840"/>
      <c r="AX57" s="840"/>
      <c r="AY57" s="840"/>
      <c r="AZ57" s="840"/>
      <c r="BA57" s="529"/>
      <c r="BB57" s="600"/>
      <c r="BC57" s="600"/>
      <c r="BD57" s="600"/>
      <c r="BE57" s="529"/>
      <c r="BF57" s="529"/>
      <c r="BG57" s="529"/>
      <c r="BH57" s="873"/>
      <c r="BI57" s="600"/>
      <c r="BJ57" s="201"/>
      <c r="BK57" s="201"/>
      <c r="BN57" s="7"/>
    </row>
    <row r="58" s="9" customFormat="1" ht="69.95" customHeight="1" spans="1:66">
      <c r="A58" s="23">
        <f>SUBTOTAL(3,C$9:C58)</f>
        <v>45</v>
      </c>
      <c r="B58" s="55" t="s">
        <v>1152</v>
      </c>
      <c r="C58" s="35" t="s">
        <v>79</v>
      </c>
      <c r="D58" s="55" t="s">
        <v>1153</v>
      </c>
      <c r="E58" s="35" t="s">
        <v>81</v>
      </c>
      <c r="F58" s="36">
        <v>69400</v>
      </c>
      <c r="G58" s="36"/>
      <c r="H58" s="81" t="s">
        <v>131</v>
      </c>
      <c r="I58" s="81"/>
      <c r="J58" s="81"/>
      <c r="K58" s="37">
        <v>1000</v>
      </c>
      <c r="L58" s="36">
        <v>5000</v>
      </c>
      <c r="M58" s="36"/>
      <c r="N58" s="112" t="s">
        <v>284</v>
      </c>
      <c r="O58" s="133"/>
      <c r="P58" s="134"/>
      <c r="Q58" s="134"/>
      <c r="R58" s="134"/>
      <c r="S58" s="134"/>
      <c r="T58" s="134"/>
      <c r="U58" s="134"/>
      <c r="V58" s="134"/>
      <c r="W58" s="134"/>
      <c r="X58" s="90"/>
      <c r="Y58" s="90"/>
      <c r="Z58" s="252">
        <v>449.93</v>
      </c>
      <c r="AA58" s="252"/>
      <c r="AB58" s="252">
        <v>450</v>
      </c>
      <c r="AC58" s="252">
        <v>91.8</v>
      </c>
      <c r="AD58" s="252"/>
      <c r="AE58" s="252">
        <v>92</v>
      </c>
      <c r="AF58" s="252"/>
      <c r="AG58" s="252"/>
      <c r="AH58" s="252"/>
      <c r="AI58" s="252">
        <v>11.17</v>
      </c>
      <c r="AJ58" s="252"/>
      <c r="AK58" s="252">
        <v>11.17</v>
      </c>
      <c r="AL58" s="595"/>
      <c r="AM58" s="595"/>
      <c r="AN58" s="595"/>
      <c r="AO58" s="132">
        <v>5000</v>
      </c>
      <c r="AP58" s="132"/>
      <c r="AQ58" s="90"/>
      <c r="AR58" s="34" t="s">
        <v>1154</v>
      </c>
      <c r="AS58" s="86" t="s">
        <v>1155</v>
      </c>
      <c r="AT58" s="34" t="s">
        <v>950</v>
      </c>
      <c r="AU58" s="93"/>
      <c r="AV58" s="600"/>
      <c r="AW58" s="840"/>
      <c r="AX58" s="840"/>
      <c r="AY58" s="840"/>
      <c r="AZ58" s="840"/>
      <c r="BA58" s="529"/>
      <c r="BB58" s="600"/>
      <c r="BC58" s="600"/>
      <c r="BD58" s="600"/>
      <c r="BE58" s="529"/>
      <c r="BF58" s="529"/>
      <c r="BG58" s="529"/>
      <c r="BH58" s="873"/>
      <c r="BI58" s="600"/>
      <c r="BJ58" s="201"/>
      <c r="BK58" s="201"/>
      <c r="BN58" s="7"/>
    </row>
    <row r="59" s="9" customFormat="1" ht="69.95" customHeight="1" spans="1:66">
      <c r="A59" s="23">
        <f>SUBTOTAL(3,C$9:C59)</f>
        <v>46</v>
      </c>
      <c r="B59" s="55" t="s">
        <v>1156</v>
      </c>
      <c r="C59" s="59" t="s">
        <v>562</v>
      </c>
      <c r="D59" s="55" t="s">
        <v>1157</v>
      </c>
      <c r="E59" s="35" t="s">
        <v>575</v>
      </c>
      <c r="F59" s="38">
        <v>63600</v>
      </c>
      <c r="G59" s="38">
        <v>25000</v>
      </c>
      <c r="H59" s="134"/>
      <c r="I59" s="67">
        <v>1000</v>
      </c>
      <c r="J59" s="67">
        <v>5000</v>
      </c>
      <c r="K59" s="67">
        <v>9000</v>
      </c>
      <c r="L59" s="38">
        <v>10000</v>
      </c>
      <c r="M59" s="134"/>
      <c r="N59" s="123" t="s">
        <v>1158</v>
      </c>
      <c r="O59" s="133"/>
      <c r="P59" s="134"/>
      <c r="Q59" s="134"/>
      <c r="R59" s="134"/>
      <c r="S59" s="134"/>
      <c r="T59" s="134"/>
      <c r="U59" s="134"/>
      <c r="V59" s="134"/>
      <c r="W59" s="134"/>
      <c r="X59" s="90"/>
      <c r="Y59" s="90"/>
      <c r="Z59" s="132">
        <v>1615</v>
      </c>
      <c r="AA59" s="132">
        <v>1615</v>
      </c>
      <c r="AB59" s="132"/>
      <c r="AC59" s="132">
        <v>476.9</v>
      </c>
      <c r="AD59" s="132">
        <v>476.9</v>
      </c>
      <c r="AE59" s="132"/>
      <c r="AF59" s="132"/>
      <c r="AG59" s="132"/>
      <c r="AH59" s="132"/>
      <c r="AI59" s="132">
        <v>1615</v>
      </c>
      <c r="AJ59" s="132">
        <v>1162</v>
      </c>
      <c r="AK59" s="132">
        <v>453</v>
      </c>
      <c r="AL59" s="595"/>
      <c r="AM59" s="595"/>
      <c r="AN59" s="595"/>
      <c r="AO59" s="595"/>
      <c r="AP59" s="132">
        <v>20000</v>
      </c>
      <c r="AQ59" s="90"/>
      <c r="AR59" s="90" t="s">
        <v>1159</v>
      </c>
      <c r="AS59" s="34" t="s">
        <v>1160</v>
      </c>
      <c r="AT59" s="34" t="s">
        <v>950</v>
      </c>
      <c r="AU59" s="34"/>
      <c r="AV59" s="600"/>
      <c r="AW59" s="840"/>
      <c r="AX59" s="840"/>
      <c r="AY59" s="840"/>
      <c r="AZ59" s="840"/>
      <c r="BA59" s="529"/>
      <c r="BB59" s="600"/>
      <c r="BC59" s="600"/>
      <c r="BD59" s="600"/>
      <c r="BE59" s="529"/>
      <c r="BF59" s="529"/>
      <c r="BG59" s="529"/>
      <c r="BH59" s="873"/>
      <c r="BI59" s="600"/>
      <c r="BJ59" s="201"/>
      <c r="BK59" s="201"/>
      <c r="BN59" s="7"/>
    </row>
    <row r="60" s="9" customFormat="1" ht="95.25" customHeight="1" spans="1:66">
      <c r="A60" s="23">
        <f>SUBTOTAL(3,C$9:C60)</f>
        <v>47</v>
      </c>
      <c r="B60" s="55" t="s">
        <v>1161</v>
      </c>
      <c r="C60" s="35" t="s">
        <v>562</v>
      </c>
      <c r="D60" s="55" t="s">
        <v>1162</v>
      </c>
      <c r="E60" s="35" t="s">
        <v>588</v>
      </c>
      <c r="F60" s="38">
        <v>53730</v>
      </c>
      <c r="G60" s="38">
        <v>14161</v>
      </c>
      <c r="H60" s="123"/>
      <c r="I60" s="67">
        <v>1000</v>
      </c>
      <c r="J60" s="67">
        <v>5000</v>
      </c>
      <c r="K60" s="67">
        <v>9000</v>
      </c>
      <c r="L60" s="38">
        <v>15000</v>
      </c>
      <c r="M60" s="38"/>
      <c r="N60" s="123" t="s">
        <v>1163</v>
      </c>
      <c r="O60" s="67"/>
      <c r="P60" s="90" t="s">
        <v>1164</v>
      </c>
      <c r="Q60" s="90" t="s">
        <v>1165</v>
      </c>
      <c r="R60" s="132">
        <v>928</v>
      </c>
      <c r="S60" s="132"/>
      <c r="T60" s="132">
        <v>928</v>
      </c>
      <c r="U60" s="132">
        <v>323</v>
      </c>
      <c r="V60" s="132">
        <v>320</v>
      </c>
      <c r="W60" s="132">
        <v>3</v>
      </c>
      <c r="X60" s="132"/>
      <c r="Y60" s="132"/>
      <c r="Z60" s="860">
        <v>928</v>
      </c>
      <c r="AA60" s="860"/>
      <c r="AB60" s="860">
        <v>928</v>
      </c>
      <c r="AC60" s="860">
        <v>323</v>
      </c>
      <c r="AD60" s="860">
        <v>320</v>
      </c>
      <c r="AE60" s="860">
        <v>3</v>
      </c>
      <c r="AF60" s="860"/>
      <c r="AG60" s="860"/>
      <c r="AH60" s="860"/>
      <c r="AI60" s="860">
        <v>601</v>
      </c>
      <c r="AJ60" s="860">
        <v>578</v>
      </c>
      <c r="AK60" s="132">
        <v>23</v>
      </c>
      <c r="AL60" s="132"/>
      <c r="AM60" s="132"/>
      <c r="AN60" s="132"/>
      <c r="AO60" s="132"/>
      <c r="AP60" s="132">
        <v>15000</v>
      </c>
      <c r="AQ60" s="90"/>
      <c r="AR60" s="90" t="s">
        <v>1166</v>
      </c>
      <c r="AS60" s="34" t="s">
        <v>455</v>
      </c>
      <c r="AT60" s="34" t="s">
        <v>950</v>
      </c>
      <c r="AU60" s="91"/>
      <c r="AV60" s="600"/>
      <c r="AW60" s="840"/>
      <c r="AX60" s="840"/>
      <c r="AY60" s="840"/>
      <c r="AZ60" s="840"/>
      <c r="BA60" s="529"/>
      <c r="BB60" s="600"/>
      <c r="BC60" s="600"/>
      <c r="BD60" s="600"/>
      <c r="BE60" s="529"/>
      <c r="BF60" s="529"/>
      <c r="BG60" s="529"/>
      <c r="BH60" s="873"/>
      <c r="BI60" s="600"/>
      <c r="BJ60" s="201"/>
      <c r="BK60" s="201"/>
      <c r="BN60" s="7"/>
    </row>
    <row r="61" s="9" customFormat="1" ht="79.5" customHeight="1" spans="1:66">
      <c r="A61" s="23">
        <f>SUBTOTAL(3,C$9:C61)</f>
        <v>48</v>
      </c>
      <c r="B61" s="55" t="s">
        <v>1167</v>
      </c>
      <c r="C61" s="35" t="s">
        <v>79</v>
      </c>
      <c r="D61" s="55" t="s">
        <v>1168</v>
      </c>
      <c r="E61" s="35" t="s">
        <v>81</v>
      </c>
      <c r="F61" s="35">
        <v>78655</v>
      </c>
      <c r="G61" s="35"/>
      <c r="H61" s="81" t="s">
        <v>209</v>
      </c>
      <c r="I61" s="37">
        <v>500</v>
      </c>
      <c r="J61" s="37">
        <v>3500</v>
      </c>
      <c r="K61" s="37">
        <v>6000</v>
      </c>
      <c r="L61" s="35">
        <v>10000</v>
      </c>
      <c r="M61" s="35"/>
      <c r="N61" s="34" t="s">
        <v>1169</v>
      </c>
      <c r="O61" s="133"/>
      <c r="P61" s="134"/>
      <c r="Q61" s="134"/>
      <c r="R61" s="134"/>
      <c r="S61" s="134"/>
      <c r="T61" s="134"/>
      <c r="U61" s="134"/>
      <c r="V61" s="134"/>
      <c r="W61" s="134"/>
      <c r="X61" s="90"/>
      <c r="Y61" s="90"/>
      <c r="Z61" s="132">
        <v>1406.7</v>
      </c>
      <c r="AA61" s="132">
        <v>1406.7</v>
      </c>
      <c r="AB61" s="132"/>
      <c r="AC61" s="132"/>
      <c r="AD61" s="132"/>
      <c r="AE61" s="132"/>
      <c r="AF61" s="132"/>
      <c r="AG61" s="132"/>
      <c r="AH61" s="132"/>
      <c r="AI61" s="132">
        <v>1430</v>
      </c>
      <c r="AJ61" s="132">
        <v>1430</v>
      </c>
      <c r="AK61" s="595"/>
      <c r="AL61" s="595"/>
      <c r="AM61" s="595"/>
      <c r="AN61" s="595"/>
      <c r="AO61" s="595"/>
      <c r="AP61" s="595"/>
      <c r="AQ61" s="90"/>
      <c r="AR61" s="66" t="s">
        <v>1170</v>
      </c>
      <c r="AS61" s="34" t="s">
        <v>1171</v>
      </c>
      <c r="AT61" s="123" t="s">
        <v>269</v>
      </c>
      <c r="AU61" s="93"/>
      <c r="AV61" s="600"/>
      <c r="AW61" s="840"/>
      <c r="AX61" s="840"/>
      <c r="AY61" s="840"/>
      <c r="AZ61" s="840"/>
      <c r="BA61" s="529"/>
      <c r="BB61" s="600"/>
      <c r="BC61" s="600"/>
      <c r="BD61" s="600"/>
      <c r="BE61" s="529"/>
      <c r="BF61" s="529"/>
      <c r="BG61" s="529"/>
      <c r="BH61" s="873"/>
      <c r="BI61" s="600"/>
      <c r="BJ61" s="201"/>
      <c r="BK61" s="201"/>
      <c r="BN61" s="7"/>
    </row>
    <row r="62" s="9" customFormat="1" ht="69.95" customHeight="1" spans="1:66">
      <c r="A62" s="23">
        <f>SUBTOTAL(3,C$9:C62)</f>
        <v>49</v>
      </c>
      <c r="B62" s="55" t="s">
        <v>1172</v>
      </c>
      <c r="C62" s="35" t="s">
        <v>562</v>
      </c>
      <c r="D62" s="55" t="s">
        <v>1173</v>
      </c>
      <c r="E62" s="35" t="s">
        <v>575</v>
      </c>
      <c r="F62" s="36">
        <v>7097</v>
      </c>
      <c r="G62" s="36">
        <v>1200</v>
      </c>
      <c r="H62" s="134"/>
      <c r="I62" s="67">
        <v>800</v>
      </c>
      <c r="J62" s="67">
        <v>1500</v>
      </c>
      <c r="K62" s="67">
        <v>2200</v>
      </c>
      <c r="L62" s="36">
        <v>3000</v>
      </c>
      <c r="M62" s="134"/>
      <c r="N62" s="123" t="s">
        <v>1174</v>
      </c>
      <c r="O62" s="133"/>
      <c r="P62" s="134"/>
      <c r="Q62" s="134"/>
      <c r="R62" s="134"/>
      <c r="S62" s="134"/>
      <c r="T62" s="134"/>
      <c r="U62" s="134"/>
      <c r="V62" s="134"/>
      <c r="W62" s="134"/>
      <c r="X62" s="90"/>
      <c r="Y62" s="90"/>
      <c r="Z62" s="132"/>
      <c r="AA62" s="132"/>
      <c r="AB62" s="132"/>
      <c r="AC62" s="132"/>
      <c r="AD62" s="132"/>
      <c r="AE62" s="132"/>
      <c r="AF62" s="132"/>
      <c r="AG62" s="132"/>
      <c r="AH62" s="132"/>
      <c r="AI62" s="132"/>
      <c r="AJ62" s="132"/>
      <c r="AK62" s="132"/>
      <c r="AL62" s="595"/>
      <c r="AM62" s="595"/>
      <c r="AN62" s="595"/>
      <c r="AO62" s="595"/>
      <c r="AP62" s="595"/>
      <c r="AQ62" s="90"/>
      <c r="AR62" s="259" t="s">
        <v>1175</v>
      </c>
      <c r="AS62" s="34" t="s">
        <v>1176</v>
      </c>
      <c r="AT62" s="34" t="s">
        <v>269</v>
      </c>
      <c r="AU62" s="91"/>
      <c r="AV62" s="600"/>
      <c r="AW62" s="840"/>
      <c r="AX62" s="840"/>
      <c r="AY62" s="840"/>
      <c r="AZ62" s="840"/>
      <c r="BA62" s="529"/>
      <c r="BB62" s="600"/>
      <c r="BC62" s="600"/>
      <c r="BD62" s="600"/>
      <c r="BE62" s="529"/>
      <c r="BF62" s="529"/>
      <c r="BG62" s="529"/>
      <c r="BH62" s="873"/>
      <c r="BI62" s="600"/>
      <c r="BJ62" s="201"/>
      <c r="BK62" s="201"/>
      <c r="BN62" s="7"/>
    </row>
    <row r="63" s="9" customFormat="1" ht="69.95" customHeight="1" spans="1:66">
      <c r="A63" s="23">
        <f>SUBTOTAL(3,C$9:C63)</f>
        <v>50</v>
      </c>
      <c r="B63" s="55" t="s">
        <v>1177</v>
      </c>
      <c r="C63" s="35" t="s">
        <v>810</v>
      </c>
      <c r="D63" s="34" t="s">
        <v>1178</v>
      </c>
      <c r="E63" s="855" t="s">
        <v>832</v>
      </c>
      <c r="F63" s="856">
        <v>1780</v>
      </c>
      <c r="G63" s="23">
        <v>800</v>
      </c>
      <c r="H63" s="81" t="s">
        <v>131</v>
      </c>
      <c r="I63" s="37">
        <v>200</v>
      </c>
      <c r="J63" s="37">
        <v>400</v>
      </c>
      <c r="K63" s="37">
        <v>600</v>
      </c>
      <c r="L63" s="581">
        <v>980</v>
      </c>
      <c r="M63" s="134"/>
      <c r="N63" s="34" t="s">
        <v>971</v>
      </c>
      <c r="O63" s="133"/>
      <c r="P63" s="134"/>
      <c r="Q63" s="134"/>
      <c r="R63" s="134"/>
      <c r="S63" s="134"/>
      <c r="T63" s="134"/>
      <c r="U63" s="134"/>
      <c r="V63" s="134"/>
      <c r="W63" s="134"/>
      <c r="X63" s="90"/>
      <c r="Y63" s="90"/>
      <c r="Z63" s="132">
        <v>628.665</v>
      </c>
      <c r="AA63" s="132">
        <v>448.665</v>
      </c>
      <c r="AB63" s="132">
        <v>180</v>
      </c>
      <c r="AC63" s="132">
        <v>209.544</v>
      </c>
      <c r="AD63" s="132">
        <v>209.544</v>
      </c>
      <c r="AE63" s="132"/>
      <c r="AF63" s="132"/>
      <c r="AG63" s="132"/>
      <c r="AH63" s="132"/>
      <c r="AI63" s="132"/>
      <c r="AJ63" s="132"/>
      <c r="AK63" s="132"/>
      <c r="AL63" s="595"/>
      <c r="AM63" s="595"/>
      <c r="AN63" s="595"/>
      <c r="AO63" s="595"/>
      <c r="AP63" s="595"/>
      <c r="AQ63" s="90"/>
      <c r="AR63" s="112" t="s">
        <v>117</v>
      </c>
      <c r="AS63" s="34" t="s">
        <v>1179</v>
      </c>
      <c r="AT63" s="34" t="s">
        <v>269</v>
      </c>
      <c r="AU63" s="91"/>
      <c r="AV63" s="600"/>
      <c r="AW63" s="840"/>
      <c r="AX63" s="840"/>
      <c r="AY63" s="840"/>
      <c r="AZ63" s="840"/>
      <c r="BA63" s="529"/>
      <c r="BB63" s="600"/>
      <c r="BC63" s="600"/>
      <c r="BD63" s="600"/>
      <c r="BE63" s="529"/>
      <c r="BF63" s="529"/>
      <c r="BG63" s="529"/>
      <c r="BH63" s="873"/>
      <c r="BI63" s="600"/>
      <c r="BJ63" s="201"/>
      <c r="BK63" s="201"/>
      <c r="BN63" s="7"/>
    </row>
    <row r="64" s="9" customFormat="1" ht="80.1" customHeight="1" spans="1:66">
      <c r="A64" s="23">
        <f>SUBTOTAL(3,C$9:C64)</f>
        <v>51</v>
      </c>
      <c r="B64" s="55" t="s">
        <v>1180</v>
      </c>
      <c r="C64" s="35" t="s">
        <v>79</v>
      </c>
      <c r="D64" s="55" t="s">
        <v>1181</v>
      </c>
      <c r="E64" s="35">
        <v>2019</v>
      </c>
      <c r="F64" s="38">
        <v>3000</v>
      </c>
      <c r="G64" s="38"/>
      <c r="H64" s="81" t="s">
        <v>244</v>
      </c>
      <c r="I64" s="37">
        <v>500</v>
      </c>
      <c r="J64" s="37">
        <v>1000</v>
      </c>
      <c r="K64" s="37">
        <v>2000</v>
      </c>
      <c r="L64" s="35">
        <v>3000</v>
      </c>
      <c r="M64" s="35"/>
      <c r="N64" s="34" t="s">
        <v>971</v>
      </c>
      <c r="O64" s="133"/>
      <c r="P64" s="134"/>
      <c r="Q64" s="134"/>
      <c r="R64" s="134"/>
      <c r="S64" s="134"/>
      <c r="T64" s="134"/>
      <c r="U64" s="134"/>
      <c r="V64" s="134"/>
      <c r="W64" s="134"/>
      <c r="X64" s="90"/>
      <c r="Y64" s="90"/>
      <c r="Z64" s="730">
        <v>152</v>
      </c>
      <c r="AA64" s="730"/>
      <c r="AB64" s="836">
        <v>152</v>
      </c>
      <c r="AC64" s="99"/>
      <c r="AD64" s="730"/>
      <c r="AE64" s="836"/>
      <c r="AF64" s="836"/>
      <c r="AG64" s="330"/>
      <c r="AH64" s="552"/>
      <c r="AI64" s="132"/>
      <c r="AJ64" s="330"/>
      <c r="AK64" s="552"/>
      <c r="AL64" s="552"/>
      <c r="AM64" s="552"/>
      <c r="AN64" s="552"/>
      <c r="AO64" s="730"/>
      <c r="AP64" s="99">
        <v>3000</v>
      </c>
      <c r="AQ64" s="90"/>
      <c r="AR64" s="34" t="s">
        <v>1182</v>
      </c>
      <c r="AS64" s="34" t="s">
        <v>785</v>
      </c>
      <c r="AT64" s="34" t="s">
        <v>317</v>
      </c>
      <c r="AU64" s="93"/>
      <c r="AV64" s="600"/>
      <c r="AW64" s="840"/>
      <c r="AX64" s="840"/>
      <c r="AY64" s="840"/>
      <c r="AZ64" s="840"/>
      <c r="BA64" s="529"/>
      <c r="BB64" s="600"/>
      <c r="BC64" s="600"/>
      <c r="BD64" s="600"/>
      <c r="BE64" s="529"/>
      <c r="BF64" s="529"/>
      <c r="BG64" s="529"/>
      <c r="BH64" s="873"/>
      <c r="BI64" s="600"/>
      <c r="BJ64" s="201"/>
      <c r="BK64" s="201"/>
      <c r="BN64" s="7"/>
    </row>
    <row r="65" s="9" customFormat="1" ht="90" customHeight="1" spans="1:66">
      <c r="A65" s="23">
        <f>SUBTOTAL(3,C$9:C65)</f>
        <v>52</v>
      </c>
      <c r="B65" s="671" t="s">
        <v>1183</v>
      </c>
      <c r="C65" s="35" t="s">
        <v>562</v>
      </c>
      <c r="D65" s="55" t="s">
        <v>1184</v>
      </c>
      <c r="E65" s="35" t="s">
        <v>575</v>
      </c>
      <c r="F65" s="38">
        <v>49856</v>
      </c>
      <c r="G65" s="38">
        <v>10000</v>
      </c>
      <c r="H65" s="134"/>
      <c r="I65" s="67">
        <v>1500</v>
      </c>
      <c r="J65" s="67">
        <v>4500</v>
      </c>
      <c r="K65" s="67">
        <v>7500</v>
      </c>
      <c r="L65" s="38">
        <v>10000</v>
      </c>
      <c r="M65" s="134"/>
      <c r="N65" s="123" t="s">
        <v>1185</v>
      </c>
      <c r="O65" s="133"/>
      <c r="P65" s="134"/>
      <c r="Q65" s="134"/>
      <c r="R65" s="134"/>
      <c r="S65" s="134"/>
      <c r="T65" s="134"/>
      <c r="U65" s="134"/>
      <c r="V65" s="134"/>
      <c r="W65" s="134"/>
      <c r="X65" s="90"/>
      <c r="Y65" s="90"/>
      <c r="Z65" s="132">
        <v>1098</v>
      </c>
      <c r="AA65" s="132">
        <v>1098</v>
      </c>
      <c r="AB65" s="132"/>
      <c r="AC65" s="132">
        <v>422.4</v>
      </c>
      <c r="AD65" s="132">
        <v>422.4</v>
      </c>
      <c r="AE65" s="132"/>
      <c r="AF65" s="132"/>
      <c r="AG65" s="132"/>
      <c r="AH65" s="132"/>
      <c r="AI65" s="132"/>
      <c r="AJ65" s="132"/>
      <c r="AK65" s="132"/>
      <c r="AL65" s="132"/>
      <c r="AM65" s="132"/>
      <c r="AN65" s="132"/>
      <c r="AO65" s="132">
        <v>3000</v>
      </c>
      <c r="AP65" s="132">
        <v>46193</v>
      </c>
      <c r="AQ65" s="90"/>
      <c r="AR65" s="90" t="s">
        <v>1186</v>
      </c>
      <c r="AS65" s="595" t="s">
        <v>1187</v>
      </c>
      <c r="AT65" s="34" t="s">
        <v>317</v>
      </c>
      <c r="AU65" s="91"/>
      <c r="AV65" s="600"/>
      <c r="AW65" s="840"/>
      <c r="AX65" s="840"/>
      <c r="AY65" s="840"/>
      <c r="AZ65" s="840"/>
      <c r="BA65" s="529"/>
      <c r="BB65" s="600"/>
      <c r="BC65" s="600"/>
      <c r="BD65" s="600"/>
      <c r="BE65" s="529"/>
      <c r="BF65" s="529"/>
      <c r="BG65" s="529"/>
      <c r="BH65" s="873"/>
      <c r="BI65" s="600"/>
      <c r="BJ65" s="201"/>
      <c r="BK65" s="201"/>
      <c r="BN65" s="7"/>
    </row>
    <row r="66" s="9" customFormat="1" ht="90" customHeight="1" spans="1:66">
      <c r="A66" s="23">
        <f>SUBTOTAL(3,C$9:C66)</f>
        <v>53</v>
      </c>
      <c r="B66" s="829" t="s">
        <v>1188</v>
      </c>
      <c r="C66" s="35" t="s">
        <v>562</v>
      </c>
      <c r="D66" s="232" t="s">
        <v>1189</v>
      </c>
      <c r="E66" s="35" t="s">
        <v>661</v>
      </c>
      <c r="F66" s="35">
        <v>38927</v>
      </c>
      <c r="G66" s="37">
        <v>11000</v>
      </c>
      <c r="H66" s="134"/>
      <c r="I66" s="67">
        <v>900</v>
      </c>
      <c r="J66" s="67">
        <v>2000</v>
      </c>
      <c r="K66" s="67">
        <v>3500</v>
      </c>
      <c r="L66" s="37">
        <v>5000</v>
      </c>
      <c r="M66" s="134"/>
      <c r="N66" s="123" t="s">
        <v>1190</v>
      </c>
      <c r="O66" s="133"/>
      <c r="P66" s="134"/>
      <c r="Q66" s="134"/>
      <c r="R66" s="134"/>
      <c r="S66" s="134"/>
      <c r="T66" s="134"/>
      <c r="U66" s="134"/>
      <c r="V66" s="134"/>
      <c r="W66" s="134"/>
      <c r="X66" s="90"/>
      <c r="Y66" s="90"/>
      <c r="Z66" s="132">
        <v>1289.25</v>
      </c>
      <c r="AA66" s="132">
        <v>1289.25</v>
      </c>
      <c r="AB66" s="132"/>
      <c r="AC66" s="132">
        <v>504.9</v>
      </c>
      <c r="AD66" s="132">
        <v>505</v>
      </c>
      <c r="AE66" s="132"/>
      <c r="AF66" s="132"/>
      <c r="AG66" s="132"/>
      <c r="AH66" s="132"/>
      <c r="AI66" s="132">
        <v>380.38</v>
      </c>
      <c r="AJ66" s="132">
        <v>373.96</v>
      </c>
      <c r="AK66" s="132">
        <v>6.41</v>
      </c>
      <c r="AL66" s="132"/>
      <c r="AM66" s="132"/>
      <c r="AN66" s="132"/>
      <c r="AO66" s="132">
        <v>3888.81</v>
      </c>
      <c r="AP66" s="132">
        <v>14250</v>
      </c>
      <c r="AQ66" s="90"/>
      <c r="AR66" s="90" t="s">
        <v>1186</v>
      </c>
      <c r="AS66" s="595" t="s">
        <v>1187</v>
      </c>
      <c r="AT66" s="123" t="s">
        <v>317</v>
      </c>
      <c r="AU66" s="91"/>
      <c r="AV66" s="600"/>
      <c r="AW66" s="840"/>
      <c r="AX66" s="840"/>
      <c r="AY66" s="840"/>
      <c r="AZ66" s="840"/>
      <c r="BA66" s="529"/>
      <c r="BB66" s="600"/>
      <c r="BC66" s="600"/>
      <c r="BD66" s="600"/>
      <c r="BE66" s="529"/>
      <c r="BF66" s="529"/>
      <c r="BG66" s="529"/>
      <c r="BH66" s="873"/>
      <c r="BI66" s="600"/>
      <c r="BJ66" s="201"/>
      <c r="BK66" s="201"/>
      <c r="BN66" s="7"/>
    </row>
    <row r="67" s="9" customFormat="1" ht="80.1" customHeight="1" spans="1:66">
      <c r="A67" s="23">
        <f>SUBTOTAL(3,C$9:C67)</f>
        <v>54</v>
      </c>
      <c r="B67" s="829" t="s">
        <v>1191</v>
      </c>
      <c r="C67" s="35" t="s">
        <v>810</v>
      </c>
      <c r="D67" s="565" t="s">
        <v>1192</v>
      </c>
      <c r="E67" s="35" t="s">
        <v>812</v>
      </c>
      <c r="F67" s="35">
        <v>5393</v>
      </c>
      <c r="G67" s="37">
        <v>4300</v>
      </c>
      <c r="H67" s="81" t="s">
        <v>131</v>
      </c>
      <c r="I67" s="37">
        <v>300</v>
      </c>
      <c r="J67" s="37">
        <v>600</v>
      </c>
      <c r="K67" s="37">
        <v>893</v>
      </c>
      <c r="L67" s="38">
        <v>1093</v>
      </c>
      <c r="M67" s="134"/>
      <c r="N67" s="34" t="s">
        <v>971</v>
      </c>
      <c r="O67" s="133"/>
      <c r="P67" s="134"/>
      <c r="Q67" s="134"/>
      <c r="R67" s="134"/>
      <c r="S67" s="134"/>
      <c r="T67" s="134"/>
      <c r="U67" s="134"/>
      <c r="V67" s="134"/>
      <c r="W67" s="134"/>
      <c r="X67" s="90"/>
      <c r="Y67" s="90"/>
      <c r="Z67" s="132"/>
      <c r="AA67" s="132"/>
      <c r="AB67" s="132"/>
      <c r="AC67" s="132"/>
      <c r="AD67" s="132"/>
      <c r="AE67" s="132"/>
      <c r="AF67" s="132"/>
      <c r="AG67" s="132"/>
      <c r="AH67" s="132"/>
      <c r="AI67" s="132"/>
      <c r="AJ67" s="132"/>
      <c r="AK67" s="132"/>
      <c r="AL67" s="595"/>
      <c r="AM67" s="595"/>
      <c r="AN67" s="595"/>
      <c r="AO67" s="595"/>
      <c r="AP67" s="595"/>
      <c r="AQ67" s="90"/>
      <c r="AR67" s="112" t="s">
        <v>1193</v>
      </c>
      <c r="AS67" s="595" t="s">
        <v>1194</v>
      </c>
      <c r="AT67" s="123" t="s">
        <v>317</v>
      </c>
      <c r="AU67" s="91"/>
      <c r="AV67" s="600"/>
      <c r="AW67" s="840"/>
      <c r="AX67" s="840"/>
      <c r="AY67" s="840"/>
      <c r="AZ67" s="840"/>
      <c r="BA67" s="529"/>
      <c r="BB67" s="600"/>
      <c r="BC67" s="600"/>
      <c r="BD67" s="600"/>
      <c r="BE67" s="529"/>
      <c r="BF67" s="529"/>
      <c r="BG67" s="529"/>
      <c r="BH67" s="873"/>
      <c r="BI67" s="600"/>
      <c r="BJ67" s="201"/>
      <c r="BK67" s="201"/>
      <c r="BN67" s="7"/>
    </row>
    <row r="68" s="9" customFormat="1" ht="69.95" customHeight="1" spans="1:66">
      <c r="A68" s="23">
        <f>SUBTOTAL(3,C$9:C68)</f>
        <v>55</v>
      </c>
      <c r="B68" s="55" t="s">
        <v>1195</v>
      </c>
      <c r="C68" s="35" t="s">
        <v>79</v>
      </c>
      <c r="D68" s="55" t="s">
        <v>1196</v>
      </c>
      <c r="E68" s="35" t="s">
        <v>112</v>
      </c>
      <c r="F68" s="36">
        <v>11200</v>
      </c>
      <c r="G68" s="36"/>
      <c r="H68" s="81" t="s">
        <v>244</v>
      </c>
      <c r="I68" s="36">
        <v>780</v>
      </c>
      <c r="J68" s="37">
        <v>2500</v>
      </c>
      <c r="K68" s="37">
        <v>4000</v>
      </c>
      <c r="L68" s="36">
        <v>5000</v>
      </c>
      <c r="M68" s="36"/>
      <c r="N68" s="112" t="s">
        <v>1197</v>
      </c>
      <c r="O68" s="133"/>
      <c r="P68" s="134"/>
      <c r="Q68" s="134"/>
      <c r="R68" s="134"/>
      <c r="S68" s="134"/>
      <c r="T68" s="134"/>
      <c r="U68" s="134"/>
      <c r="V68" s="134"/>
      <c r="W68" s="134"/>
      <c r="X68" s="90"/>
      <c r="Y68" s="90"/>
      <c r="Z68" s="252">
        <v>449.93</v>
      </c>
      <c r="AA68" s="252"/>
      <c r="AB68" s="252">
        <v>450</v>
      </c>
      <c r="AC68" s="252">
        <v>91.8</v>
      </c>
      <c r="AD68" s="252"/>
      <c r="AE68" s="252">
        <v>92</v>
      </c>
      <c r="AF68" s="252"/>
      <c r="AG68" s="252"/>
      <c r="AH68" s="252"/>
      <c r="AI68" s="252">
        <v>11.17</v>
      </c>
      <c r="AJ68" s="252"/>
      <c r="AK68" s="595"/>
      <c r="AL68" s="595"/>
      <c r="AM68" s="595"/>
      <c r="AN68" s="595"/>
      <c r="AO68" s="132"/>
      <c r="AP68" s="132"/>
      <c r="AQ68" s="90"/>
      <c r="AR68" s="112" t="s">
        <v>1198</v>
      </c>
      <c r="AS68" s="86" t="s">
        <v>1199</v>
      </c>
      <c r="AT68" s="34" t="s">
        <v>359</v>
      </c>
      <c r="AU68" s="93"/>
      <c r="AV68" s="600"/>
      <c r="AW68" s="840"/>
      <c r="AX68" s="840"/>
      <c r="AY68" s="840"/>
      <c r="AZ68" s="840"/>
      <c r="BA68" s="529"/>
      <c r="BB68" s="600"/>
      <c r="BC68" s="600"/>
      <c r="BD68" s="600"/>
      <c r="BE68" s="529"/>
      <c r="BF68" s="529"/>
      <c r="BG68" s="529"/>
      <c r="BH68" s="873"/>
      <c r="BI68" s="600"/>
      <c r="BJ68" s="201"/>
      <c r="BK68" s="201"/>
      <c r="BN68" s="7"/>
    </row>
    <row r="69" s="9" customFormat="1" ht="69.95" customHeight="1" spans="1:66">
      <c r="A69" s="23">
        <f>SUBTOTAL(3,C$9:C69)</f>
        <v>56</v>
      </c>
      <c r="B69" s="55" t="s">
        <v>1200</v>
      </c>
      <c r="C69" s="35" t="s">
        <v>79</v>
      </c>
      <c r="D69" s="55" t="s">
        <v>1201</v>
      </c>
      <c r="E69" s="35">
        <v>2019</v>
      </c>
      <c r="F69" s="36">
        <v>2020.8</v>
      </c>
      <c r="G69" s="36"/>
      <c r="H69" s="81" t="s">
        <v>122</v>
      </c>
      <c r="I69" s="81"/>
      <c r="J69" s="37">
        <v>500</v>
      </c>
      <c r="K69" s="37">
        <v>1500</v>
      </c>
      <c r="L69" s="36">
        <v>2020.8</v>
      </c>
      <c r="M69" s="36"/>
      <c r="N69" s="112" t="s">
        <v>1202</v>
      </c>
      <c r="O69" s="133"/>
      <c r="P69" s="134"/>
      <c r="Q69" s="134"/>
      <c r="R69" s="134"/>
      <c r="S69" s="134"/>
      <c r="T69" s="134"/>
      <c r="U69" s="134"/>
      <c r="V69" s="134"/>
      <c r="W69" s="134"/>
      <c r="X69" s="90"/>
      <c r="Y69" s="90"/>
      <c r="Z69" s="252">
        <v>449.93</v>
      </c>
      <c r="AA69" s="252"/>
      <c r="AB69" s="252">
        <v>450</v>
      </c>
      <c r="AC69" s="252">
        <v>91.8</v>
      </c>
      <c r="AD69" s="252"/>
      <c r="AE69" s="252">
        <v>92</v>
      </c>
      <c r="AF69" s="252"/>
      <c r="AG69" s="252"/>
      <c r="AH69" s="252"/>
      <c r="AI69" s="252">
        <v>11.17</v>
      </c>
      <c r="AJ69" s="252"/>
      <c r="AK69" s="595"/>
      <c r="AL69" s="595"/>
      <c r="AM69" s="595"/>
      <c r="AN69" s="595"/>
      <c r="AO69" s="132"/>
      <c r="AP69" s="132"/>
      <c r="AQ69" s="90"/>
      <c r="AR69" s="34" t="s">
        <v>1203</v>
      </c>
      <c r="AS69" s="86" t="s">
        <v>1199</v>
      </c>
      <c r="AT69" s="34" t="s">
        <v>359</v>
      </c>
      <c r="AU69" s="93"/>
      <c r="AV69" s="600"/>
      <c r="AW69" s="840"/>
      <c r="AX69" s="840"/>
      <c r="AY69" s="840"/>
      <c r="AZ69" s="840"/>
      <c r="BA69" s="529"/>
      <c r="BB69" s="600"/>
      <c r="BC69" s="600"/>
      <c r="BD69" s="600"/>
      <c r="BE69" s="529"/>
      <c r="BF69" s="529"/>
      <c r="BG69" s="529"/>
      <c r="BH69" s="873"/>
      <c r="BI69" s="600"/>
      <c r="BJ69" s="201"/>
      <c r="BK69" s="201"/>
      <c r="BN69" s="7"/>
    </row>
    <row r="70" s="9" customFormat="1" ht="69.95" customHeight="1" spans="1:66">
      <c r="A70" s="23">
        <f>SUBTOTAL(3,C$9:C70)</f>
        <v>57</v>
      </c>
      <c r="B70" s="60" t="s">
        <v>1204</v>
      </c>
      <c r="C70" s="23" t="s">
        <v>79</v>
      </c>
      <c r="D70" s="88" t="s">
        <v>1205</v>
      </c>
      <c r="E70" s="23" t="s">
        <v>112</v>
      </c>
      <c r="F70" s="67">
        <v>1000</v>
      </c>
      <c r="G70" s="67"/>
      <c r="H70" s="67" t="s">
        <v>122</v>
      </c>
      <c r="I70" s="67"/>
      <c r="J70" s="37">
        <v>600</v>
      </c>
      <c r="K70" s="37">
        <v>860</v>
      </c>
      <c r="L70" s="67">
        <v>1000</v>
      </c>
      <c r="M70" s="67"/>
      <c r="N70" s="123" t="s">
        <v>1206</v>
      </c>
      <c r="O70" s="133"/>
      <c r="P70" s="134"/>
      <c r="Q70" s="134"/>
      <c r="R70" s="134"/>
      <c r="S70" s="134"/>
      <c r="T70" s="134"/>
      <c r="U70" s="134"/>
      <c r="V70" s="134"/>
      <c r="W70" s="134"/>
      <c r="X70" s="90"/>
      <c r="Y70" s="90"/>
      <c r="Z70" s="252">
        <v>449.93</v>
      </c>
      <c r="AA70" s="252"/>
      <c r="AB70" s="252">
        <v>450</v>
      </c>
      <c r="AC70" s="252">
        <v>91.8</v>
      </c>
      <c r="AD70" s="252"/>
      <c r="AE70" s="252">
        <v>92</v>
      </c>
      <c r="AF70" s="252"/>
      <c r="AG70" s="252"/>
      <c r="AH70" s="252"/>
      <c r="AI70" s="252">
        <v>11.17</v>
      </c>
      <c r="AJ70" s="252"/>
      <c r="AK70" s="595"/>
      <c r="AL70" s="595"/>
      <c r="AM70" s="595"/>
      <c r="AN70" s="595"/>
      <c r="AO70" s="132"/>
      <c r="AP70" s="132"/>
      <c r="AQ70" s="90"/>
      <c r="AR70" s="112" t="s">
        <v>117</v>
      </c>
      <c r="AS70" s="86" t="s">
        <v>1199</v>
      </c>
      <c r="AT70" s="34" t="s">
        <v>359</v>
      </c>
      <c r="AU70" s="93"/>
      <c r="AV70" s="600"/>
      <c r="AW70" s="840"/>
      <c r="AX70" s="840"/>
      <c r="AY70" s="840"/>
      <c r="AZ70" s="840"/>
      <c r="BA70" s="529"/>
      <c r="BB70" s="600"/>
      <c r="BC70" s="600"/>
      <c r="BD70" s="600"/>
      <c r="BE70" s="529"/>
      <c r="BF70" s="529"/>
      <c r="BG70" s="529"/>
      <c r="BH70" s="873"/>
      <c r="BI70" s="600"/>
      <c r="BJ70" s="201"/>
      <c r="BK70" s="201"/>
      <c r="BN70" s="7"/>
    </row>
    <row r="71" s="9" customFormat="1" ht="80.1" customHeight="1" spans="1:66">
      <c r="A71" s="23">
        <f>SUBTOTAL(3,C$9:C71)</f>
        <v>58</v>
      </c>
      <c r="B71" s="55" t="s">
        <v>1207</v>
      </c>
      <c r="C71" s="35" t="s">
        <v>562</v>
      </c>
      <c r="D71" s="55" t="s">
        <v>1208</v>
      </c>
      <c r="E71" s="35" t="s">
        <v>575</v>
      </c>
      <c r="F71" s="38">
        <v>3077</v>
      </c>
      <c r="G71" s="38">
        <v>339</v>
      </c>
      <c r="H71" s="134"/>
      <c r="I71" s="36">
        <v>500</v>
      </c>
      <c r="J71" s="36">
        <v>1000</v>
      </c>
      <c r="K71" s="36">
        <v>1500</v>
      </c>
      <c r="L71" s="38">
        <v>2065</v>
      </c>
      <c r="M71" s="134"/>
      <c r="N71" s="123" t="s">
        <v>1209</v>
      </c>
      <c r="O71" s="133"/>
      <c r="P71" s="134"/>
      <c r="Q71" s="134"/>
      <c r="R71" s="134"/>
      <c r="S71" s="134"/>
      <c r="T71" s="134"/>
      <c r="U71" s="134"/>
      <c r="V71" s="134"/>
      <c r="W71" s="134"/>
      <c r="X71" s="90"/>
      <c r="Y71" s="90"/>
      <c r="Z71" s="132">
        <v>247</v>
      </c>
      <c r="AA71" s="132"/>
      <c r="AB71" s="132">
        <v>247</v>
      </c>
      <c r="AC71" s="132">
        <v>153</v>
      </c>
      <c r="AD71" s="132"/>
      <c r="AE71" s="132">
        <v>153</v>
      </c>
      <c r="AF71" s="132"/>
      <c r="AG71" s="132"/>
      <c r="AH71" s="132"/>
      <c r="AI71" s="132"/>
      <c r="AJ71" s="132"/>
      <c r="AK71" s="132"/>
      <c r="AL71" s="595"/>
      <c r="AM71" s="595"/>
      <c r="AN71" s="595"/>
      <c r="AO71" s="595"/>
      <c r="AP71" s="595"/>
      <c r="AQ71" s="90"/>
      <c r="AR71" s="90" t="s">
        <v>1210</v>
      </c>
      <c r="AS71" s="86" t="s">
        <v>1199</v>
      </c>
      <c r="AT71" s="34" t="s">
        <v>359</v>
      </c>
      <c r="AU71" s="91"/>
      <c r="AV71" s="600"/>
      <c r="AW71" s="840"/>
      <c r="AX71" s="840"/>
      <c r="AY71" s="840"/>
      <c r="AZ71" s="840"/>
      <c r="BA71" s="529"/>
      <c r="BB71" s="600"/>
      <c r="BC71" s="600"/>
      <c r="BD71" s="600"/>
      <c r="BE71" s="529"/>
      <c r="BF71" s="529"/>
      <c r="BG71" s="529"/>
      <c r="BH71" s="873"/>
      <c r="BI71" s="600"/>
      <c r="BJ71" s="201"/>
      <c r="BK71" s="201"/>
      <c r="BN71" s="7"/>
    </row>
    <row r="72" s="9" customFormat="1" ht="69.95" customHeight="1" spans="1:66">
      <c r="A72" s="23">
        <f>SUBTOTAL(3,C$9:C72)</f>
        <v>59</v>
      </c>
      <c r="B72" s="55" t="s">
        <v>1211</v>
      </c>
      <c r="C72" s="23" t="s">
        <v>79</v>
      </c>
      <c r="D72" s="55" t="s">
        <v>1212</v>
      </c>
      <c r="E72" s="35" t="s">
        <v>112</v>
      </c>
      <c r="F72" s="38">
        <v>5405</v>
      </c>
      <c r="G72" s="38"/>
      <c r="H72" s="81" t="s">
        <v>195</v>
      </c>
      <c r="I72" s="81"/>
      <c r="J72" s="37">
        <v>500</v>
      </c>
      <c r="K72" s="37">
        <v>1200</v>
      </c>
      <c r="L72" s="38">
        <v>2000</v>
      </c>
      <c r="M72" s="38"/>
      <c r="N72" s="112" t="s">
        <v>1213</v>
      </c>
      <c r="O72" s="133"/>
      <c r="P72" s="134"/>
      <c r="Q72" s="134"/>
      <c r="R72" s="134"/>
      <c r="S72" s="134"/>
      <c r="T72" s="134"/>
      <c r="U72" s="134"/>
      <c r="V72" s="134"/>
      <c r="W72" s="134"/>
      <c r="X72" s="90"/>
      <c r="Y72" s="90"/>
      <c r="Z72" s="132"/>
      <c r="AA72" s="132"/>
      <c r="AB72" s="132"/>
      <c r="AC72" s="132"/>
      <c r="AD72" s="132"/>
      <c r="AE72" s="132"/>
      <c r="AF72" s="132"/>
      <c r="AG72" s="132"/>
      <c r="AH72" s="132"/>
      <c r="AI72" s="132"/>
      <c r="AJ72" s="132"/>
      <c r="AK72" s="595"/>
      <c r="AL72" s="595"/>
      <c r="AM72" s="595"/>
      <c r="AN72" s="595"/>
      <c r="AO72" s="595"/>
      <c r="AP72" s="595"/>
      <c r="AQ72" s="90"/>
      <c r="AR72" s="112" t="s">
        <v>1214</v>
      </c>
      <c r="AS72" s="34" t="s">
        <v>1215</v>
      </c>
      <c r="AT72" s="34" t="s">
        <v>375</v>
      </c>
      <c r="AU72" s="93"/>
      <c r="AV72" s="600"/>
      <c r="AW72" s="840"/>
      <c r="AX72" s="840"/>
      <c r="AY72" s="840"/>
      <c r="AZ72" s="840"/>
      <c r="BA72" s="529"/>
      <c r="BB72" s="600"/>
      <c r="BC72" s="600"/>
      <c r="BD72" s="600"/>
      <c r="BE72" s="529"/>
      <c r="BF72" s="529"/>
      <c r="BG72" s="529"/>
      <c r="BH72" s="873"/>
      <c r="BI72" s="600"/>
      <c r="BJ72" s="201"/>
      <c r="BK72" s="201"/>
      <c r="BN72" s="7"/>
    </row>
    <row r="73" s="9" customFormat="1" ht="69.95" customHeight="1" spans="1:66">
      <c r="A73" s="23">
        <f>SUBTOTAL(3,C$9:C73)</f>
        <v>60</v>
      </c>
      <c r="B73" s="55" t="s">
        <v>1216</v>
      </c>
      <c r="C73" s="35" t="s">
        <v>562</v>
      </c>
      <c r="D73" s="55" t="s">
        <v>1217</v>
      </c>
      <c r="E73" s="35" t="s">
        <v>564</v>
      </c>
      <c r="F73" s="38">
        <v>22496</v>
      </c>
      <c r="G73" s="38">
        <v>7500</v>
      </c>
      <c r="H73" s="134"/>
      <c r="I73" s="36">
        <v>1000</v>
      </c>
      <c r="J73" s="36">
        <v>2200</v>
      </c>
      <c r="K73" s="36">
        <v>3300</v>
      </c>
      <c r="L73" s="38">
        <v>4000</v>
      </c>
      <c r="M73" s="134"/>
      <c r="N73" s="112" t="s">
        <v>1218</v>
      </c>
      <c r="O73" s="133"/>
      <c r="P73" s="134"/>
      <c r="Q73" s="134"/>
      <c r="R73" s="134"/>
      <c r="S73" s="134"/>
      <c r="T73" s="134"/>
      <c r="U73" s="134"/>
      <c r="V73" s="134"/>
      <c r="W73" s="134"/>
      <c r="X73" s="90"/>
      <c r="Y73" s="90"/>
      <c r="Z73" s="251"/>
      <c r="AA73" s="251"/>
      <c r="AB73" s="251"/>
      <c r="AC73" s="251"/>
      <c r="AD73" s="251"/>
      <c r="AE73" s="251"/>
      <c r="AF73" s="251"/>
      <c r="AG73" s="251"/>
      <c r="AH73" s="251"/>
      <c r="AI73" s="251"/>
      <c r="AJ73" s="251"/>
      <c r="AK73" s="251"/>
      <c r="AL73" s="595"/>
      <c r="AM73" s="595"/>
      <c r="AN73" s="595"/>
      <c r="AO73" s="595"/>
      <c r="AP73" s="595"/>
      <c r="AQ73" s="90"/>
      <c r="AR73" s="90" t="s">
        <v>117</v>
      </c>
      <c r="AS73" s="34" t="s">
        <v>1215</v>
      </c>
      <c r="AT73" s="34" t="s">
        <v>375</v>
      </c>
      <c r="AU73" s="91"/>
      <c r="AV73" s="600"/>
      <c r="AW73" s="840"/>
      <c r="AX73" s="840"/>
      <c r="AY73" s="840"/>
      <c r="AZ73" s="840"/>
      <c r="BA73" s="529"/>
      <c r="BB73" s="600"/>
      <c r="BC73" s="600"/>
      <c r="BD73" s="600"/>
      <c r="BE73" s="529"/>
      <c r="BF73" s="529"/>
      <c r="BG73" s="529"/>
      <c r="BH73" s="873"/>
      <c r="BI73" s="600"/>
      <c r="BJ73" s="201"/>
      <c r="BK73" s="201"/>
      <c r="BN73" s="7"/>
    </row>
    <row r="74" s="9" customFormat="1" ht="69.95" customHeight="1" spans="1:66">
      <c r="A74" s="23">
        <f>SUBTOTAL(3,C$9:C74)</f>
        <v>61</v>
      </c>
      <c r="B74" s="55" t="s">
        <v>1219</v>
      </c>
      <c r="C74" s="35" t="s">
        <v>562</v>
      </c>
      <c r="D74" s="55" t="s">
        <v>1220</v>
      </c>
      <c r="E74" s="35" t="s">
        <v>575</v>
      </c>
      <c r="F74" s="38">
        <v>8869</v>
      </c>
      <c r="G74" s="38">
        <v>300</v>
      </c>
      <c r="H74" s="134"/>
      <c r="I74" s="67">
        <v>400</v>
      </c>
      <c r="J74" s="67">
        <v>800</v>
      </c>
      <c r="K74" s="67">
        <v>1400</v>
      </c>
      <c r="L74" s="38">
        <v>2000</v>
      </c>
      <c r="M74" s="134"/>
      <c r="N74" s="123" t="s">
        <v>1221</v>
      </c>
      <c r="O74" s="133"/>
      <c r="P74" s="134"/>
      <c r="Q74" s="134"/>
      <c r="R74" s="134"/>
      <c r="S74" s="134"/>
      <c r="T74" s="134"/>
      <c r="U74" s="134"/>
      <c r="V74" s="134"/>
      <c r="W74" s="134"/>
      <c r="X74" s="90"/>
      <c r="Y74" s="90"/>
      <c r="Z74" s="132"/>
      <c r="AA74" s="132"/>
      <c r="AB74" s="132"/>
      <c r="AC74" s="132"/>
      <c r="AD74" s="132"/>
      <c r="AE74" s="132"/>
      <c r="AF74" s="132"/>
      <c r="AG74" s="132"/>
      <c r="AH74" s="132"/>
      <c r="AI74" s="132"/>
      <c r="AJ74" s="132"/>
      <c r="AK74" s="132"/>
      <c r="AL74" s="595"/>
      <c r="AM74" s="595"/>
      <c r="AN74" s="595"/>
      <c r="AO74" s="595"/>
      <c r="AP74" s="595"/>
      <c r="AQ74" s="90"/>
      <c r="AR74" s="112" t="s">
        <v>1222</v>
      </c>
      <c r="AS74" s="123" t="s">
        <v>807</v>
      </c>
      <c r="AT74" s="34" t="s">
        <v>375</v>
      </c>
      <c r="AU74" s="91"/>
      <c r="AV74" s="600"/>
      <c r="AW74" s="840"/>
      <c r="AX74" s="840"/>
      <c r="AY74" s="840"/>
      <c r="AZ74" s="840"/>
      <c r="BA74" s="529"/>
      <c r="BB74" s="600"/>
      <c r="BC74" s="600"/>
      <c r="BD74" s="600"/>
      <c r="BE74" s="529"/>
      <c r="BF74" s="529"/>
      <c r="BG74" s="529"/>
      <c r="BH74" s="873"/>
      <c r="BI74" s="600"/>
      <c r="BJ74" s="201"/>
      <c r="BK74" s="201"/>
      <c r="BN74" s="7"/>
    </row>
    <row r="75" s="9" customFormat="1" ht="69.95" customHeight="1" spans="1:66">
      <c r="A75" s="23">
        <f>SUBTOTAL(3,C$9:C75)</f>
        <v>62</v>
      </c>
      <c r="B75" s="55" t="s">
        <v>1223</v>
      </c>
      <c r="C75" s="35" t="s">
        <v>562</v>
      </c>
      <c r="D75" s="55" t="s">
        <v>1224</v>
      </c>
      <c r="E75" s="35" t="s">
        <v>564</v>
      </c>
      <c r="F75" s="38">
        <v>7316</v>
      </c>
      <c r="G75" s="38">
        <v>1910</v>
      </c>
      <c r="H75" s="134"/>
      <c r="I75" s="67">
        <v>500</v>
      </c>
      <c r="J75" s="67">
        <v>1100</v>
      </c>
      <c r="K75" s="67">
        <v>1700</v>
      </c>
      <c r="L75" s="38">
        <v>2500</v>
      </c>
      <c r="M75" s="134"/>
      <c r="N75" s="123" t="s">
        <v>1225</v>
      </c>
      <c r="O75" s="133"/>
      <c r="P75" s="134"/>
      <c r="Q75" s="134"/>
      <c r="R75" s="134"/>
      <c r="S75" s="134"/>
      <c r="T75" s="134"/>
      <c r="U75" s="134"/>
      <c r="V75" s="134"/>
      <c r="W75" s="134"/>
      <c r="X75" s="90"/>
      <c r="Y75" s="90"/>
      <c r="Z75" s="132"/>
      <c r="AA75" s="132"/>
      <c r="AB75" s="132"/>
      <c r="AC75" s="132"/>
      <c r="AD75" s="132"/>
      <c r="AE75" s="132"/>
      <c r="AF75" s="132"/>
      <c r="AG75" s="132"/>
      <c r="AH75" s="132"/>
      <c r="AI75" s="132"/>
      <c r="AJ75" s="132"/>
      <c r="AK75" s="132"/>
      <c r="AL75" s="595"/>
      <c r="AM75" s="595"/>
      <c r="AN75" s="595"/>
      <c r="AO75" s="595"/>
      <c r="AP75" s="595"/>
      <c r="AQ75" s="90"/>
      <c r="AR75" s="90" t="s">
        <v>117</v>
      </c>
      <c r="AS75" s="34" t="s">
        <v>1215</v>
      </c>
      <c r="AT75" s="34" t="s">
        <v>375</v>
      </c>
      <c r="AU75" s="91"/>
      <c r="AV75" s="600"/>
      <c r="AW75" s="840"/>
      <c r="AX75" s="840"/>
      <c r="AY75" s="840"/>
      <c r="AZ75" s="840"/>
      <c r="BA75" s="529"/>
      <c r="BB75" s="600"/>
      <c r="BC75" s="600"/>
      <c r="BD75" s="600"/>
      <c r="BE75" s="529"/>
      <c r="BF75" s="529"/>
      <c r="BG75" s="529"/>
      <c r="BH75" s="873"/>
      <c r="BI75" s="600"/>
      <c r="BJ75" s="201"/>
      <c r="BK75" s="201"/>
      <c r="BN75" s="7"/>
    </row>
    <row r="76" s="9" customFormat="1" ht="30" customHeight="1" spans="1:66">
      <c r="A76" s="551" t="s">
        <v>412</v>
      </c>
      <c r="B76" s="557" t="str">
        <f>"城市基础设施（"&amp;SUBTOTAL(3,C77:C125)&amp;"个）"</f>
        <v>城市基础设施（49个）</v>
      </c>
      <c r="C76" s="557"/>
      <c r="D76" s="557"/>
      <c r="E76" s="557"/>
      <c r="F76" s="99">
        <f t="shared" ref="F76:L76" si="13">SUM(F77:F125)</f>
        <v>781672.5</v>
      </c>
      <c r="G76" s="99">
        <f t="shared" si="13"/>
        <v>143503</v>
      </c>
      <c r="H76" s="99"/>
      <c r="I76" s="99">
        <f t="shared" si="13"/>
        <v>15630.29</v>
      </c>
      <c r="J76" s="99">
        <f t="shared" si="13"/>
        <v>43203.17</v>
      </c>
      <c r="K76" s="99">
        <f t="shared" si="13"/>
        <v>79284.34</v>
      </c>
      <c r="L76" s="99">
        <f t="shared" si="13"/>
        <v>130183</v>
      </c>
      <c r="M76" s="134"/>
      <c r="N76" s="99"/>
      <c r="O76" s="133"/>
      <c r="P76" s="134"/>
      <c r="Q76" s="134"/>
      <c r="R76" s="134"/>
      <c r="S76" s="134"/>
      <c r="T76" s="134"/>
      <c r="U76" s="134"/>
      <c r="V76" s="134"/>
      <c r="W76" s="134"/>
      <c r="X76" s="90"/>
      <c r="Y76" s="90"/>
      <c r="Z76" s="99" t="e">
        <f>#REF!+#REF!+#REF!+#REF!</f>
        <v>#REF!</v>
      </c>
      <c r="AA76" s="99" t="e">
        <f>#REF!+#REF!+#REF!+#REF!</f>
        <v>#REF!</v>
      </c>
      <c r="AB76" s="99" t="e">
        <f>#REF!+#REF!+#REF!+#REF!</f>
        <v>#REF!</v>
      </c>
      <c r="AC76" s="99" t="e">
        <f>#REF!+#REF!+#REF!+#REF!</f>
        <v>#REF!</v>
      </c>
      <c r="AD76" s="99" t="e">
        <f>#REF!+#REF!+#REF!+#REF!</f>
        <v>#REF!</v>
      </c>
      <c r="AE76" s="99" t="e">
        <f>#REF!+#REF!+#REF!+#REF!</f>
        <v>#REF!</v>
      </c>
      <c r="AF76" s="99" t="e">
        <f>#REF!+#REF!+#REF!+#REF!</f>
        <v>#REF!</v>
      </c>
      <c r="AG76" s="99" t="e">
        <f>#REF!+#REF!+#REF!+#REF!</f>
        <v>#REF!</v>
      </c>
      <c r="AH76" s="99" t="e">
        <f>#REF!+#REF!+#REF!+#REF!</f>
        <v>#REF!</v>
      </c>
      <c r="AI76" s="99" t="e">
        <f>#REF!+#REF!+#REF!+#REF!</f>
        <v>#REF!</v>
      </c>
      <c r="AJ76" s="99" t="e">
        <f>#REF!+#REF!+#REF!+#REF!</f>
        <v>#REF!</v>
      </c>
      <c r="AK76" s="99" t="e">
        <f>#REF!+#REF!+#REF!+#REF!</f>
        <v>#REF!</v>
      </c>
      <c r="AL76" s="99" t="e">
        <f>#REF!+#REF!+#REF!+#REF!</f>
        <v>#REF!</v>
      </c>
      <c r="AM76" s="99" t="e">
        <f>#REF!+#REF!+#REF!+#REF!</f>
        <v>#REF!</v>
      </c>
      <c r="AN76" s="99" t="e">
        <f>#REF!+#REF!+#REF!+#REF!</f>
        <v>#REF!</v>
      </c>
      <c r="AO76" s="99" t="e">
        <f>#REF!+#REF!+#REF!+#REF!</f>
        <v>#REF!</v>
      </c>
      <c r="AP76" s="99" t="e">
        <f>#REF!+#REF!+#REF!+#REF!</f>
        <v>#REF!</v>
      </c>
      <c r="AQ76" s="90"/>
      <c r="AR76" s="112"/>
      <c r="AS76" s="595"/>
      <c r="AT76" s="123"/>
      <c r="AU76" s="91"/>
      <c r="AV76" s="600"/>
      <c r="AW76" s="840"/>
      <c r="AX76" s="840"/>
      <c r="AY76" s="840"/>
      <c r="AZ76" s="840"/>
      <c r="BA76" s="529"/>
      <c r="BB76" s="600"/>
      <c r="BC76" s="600"/>
      <c r="BD76" s="600"/>
      <c r="BE76" s="529"/>
      <c r="BF76" s="529"/>
      <c r="BG76" s="529"/>
      <c r="BH76" s="873"/>
      <c r="BI76" s="600"/>
      <c r="BJ76" s="201"/>
      <c r="BK76" s="201"/>
      <c r="BN76" s="7"/>
    </row>
    <row r="77" s="9" customFormat="1" ht="80.1" customHeight="1" spans="1:66">
      <c r="A77" s="23">
        <f>SUBTOTAL(3,C$9:C77)</f>
        <v>63</v>
      </c>
      <c r="B77" s="55" t="s">
        <v>1226</v>
      </c>
      <c r="C77" s="35" t="s">
        <v>79</v>
      </c>
      <c r="D77" s="55" t="s">
        <v>1227</v>
      </c>
      <c r="E77" s="35" t="s">
        <v>112</v>
      </c>
      <c r="F77" s="36">
        <v>25307.8</v>
      </c>
      <c r="G77" s="36"/>
      <c r="H77" s="81" t="s">
        <v>113</v>
      </c>
      <c r="I77" s="81"/>
      <c r="J77" s="81"/>
      <c r="K77" s="81"/>
      <c r="L77" s="36">
        <v>5000</v>
      </c>
      <c r="M77" s="36"/>
      <c r="N77" s="112" t="s">
        <v>1228</v>
      </c>
      <c r="O77" s="133"/>
      <c r="P77" s="134"/>
      <c r="Q77" s="134"/>
      <c r="R77" s="134"/>
      <c r="S77" s="134"/>
      <c r="T77" s="134"/>
      <c r="U77" s="134"/>
      <c r="V77" s="134"/>
      <c r="W77" s="134"/>
      <c r="X77" s="90"/>
      <c r="Y77" s="90"/>
      <c r="Z77" s="132"/>
      <c r="AA77" s="132"/>
      <c r="AB77" s="132"/>
      <c r="AC77" s="132"/>
      <c r="AD77" s="132"/>
      <c r="AE77" s="132"/>
      <c r="AF77" s="132"/>
      <c r="AG77" s="132"/>
      <c r="AH77" s="132"/>
      <c r="AI77" s="132"/>
      <c r="AJ77" s="132"/>
      <c r="AK77" s="595"/>
      <c r="AL77" s="595"/>
      <c r="AM77" s="595"/>
      <c r="AN77" s="595"/>
      <c r="AO77" s="595"/>
      <c r="AP77" s="132">
        <v>5000</v>
      </c>
      <c r="AQ77" s="90"/>
      <c r="AR77" s="112" t="s">
        <v>1229</v>
      </c>
      <c r="AS77" s="34" t="s">
        <v>455</v>
      </c>
      <c r="AT77" s="34" t="s">
        <v>986</v>
      </c>
      <c r="AU77" s="93"/>
      <c r="AV77" s="600"/>
      <c r="AW77" s="840"/>
      <c r="AX77" s="840"/>
      <c r="AY77" s="840"/>
      <c r="AZ77" s="840"/>
      <c r="BA77" s="529"/>
      <c r="BB77" s="600"/>
      <c r="BC77" s="600"/>
      <c r="BD77" s="600"/>
      <c r="BE77" s="529"/>
      <c r="BF77" s="529"/>
      <c r="BG77" s="529"/>
      <c r="BH77" s="873"/>
      <c r="BI77" s="600"/>
      <c r="BJ77" s="201"/>
      <c r="BK77" s="201"/>
      <c r="BN77" s="7"/>
    </row>
    <row r="78" s="9" customFormat="1" ht="80.1" customHeight="1" spans="1:66">
      <c r="A78" s="23">
        <f>SUBTOTAL(3,C$9:C78)</f>
        <v>64</v>
      </c>
      <c r="B78" s="55" t="s">
        <v>1230</v>
      </c>
      <c r="C78" s="35" t="s">
        <v>810</v>
      </c>
      <c r="D78" s="55" t="s">
        <v>1231</v>
      </c>
      <c r="E78" s="35">
        <v>2019</v>
      </c>
      <c r="F78" s="36">
        <v>9558</v>
      </c>
      <c r="G78" s="36"/>
      <c r="H78" s="81" t="s">
        <v>131</v>
      </c>
      <c r="I78" s="37">
        <v>300</v>
      </c>
      <c r="J78" s="37">
        <v>1000</v>
      </c>
      <c r="K78" s="37">
        <v>3000</v>
      </c>
      <c r="L78" s="36">
        <v>9558</v>
      </c>
      <c r="M78" s="36"/>
      <c r="N78" s="112" t="s">
        <v>1012</v>
      </c>
      <c r="O78" s="133"/>
      <c r="P78" s="134"/>
      <c r="Q78" s="134"/>
      <c r="R78" s="134"/>
      <c r="S78" s="134"/>
      <c r="T78" s="134"/>
      <c r="U78" s="134"/>
      <c r="V78" s="134"/>
      <c r="W78" s="134"/>
      <c r="X78" s="90"/>
      <c r="Y78" s="90"/>
      <c r="Z78" s="132">
        <v>30</v>
      </c>
      <c r="AA78" s="132"/>
      <c r="AB78" s="132">
        <v>30</v>
      </c>
      <c r="AC78" s="132"/>
      <c r="AD78" s="132"/>
      <c r="AE78" s="132"/>
      <c r="AF78" s="132"/>
      <c r="AG78" s="132"/>
      <c r="AH78" s="132"/>
      <c r="AI78" s="132"/>
      <c r="AJ78" s="132"/>
      <c r="AK78" s="595"/>
      <c r="AL78" s="595"/>
      <c r="AM78" s="595"/>
      <c r="AN78" s="595"/>
      <c r="AO78" s="595"/>
      <c r="AP78" s="595"/>
      <c r="AQ78" s="90"/>
      <c r="AR78" s="112" t="s">
        <v>1232</v>
      </c>
      <c r="AS78" s="34" t="s">
        <v>1233</v>
      </c>
      <c r="AT78" s="34" t="s">
        <v>986</v>
      </c>
      <c r="AU78" s="93"/>
      <c r="AV78" s="600"/>
      <c r="AW78" s="840"/>
      <c r="AX78" s="840"/>
      <c r="AY78" s="840"/>
      <c r="AZ78" s="840"/>
      <c r="BA78" s="529"/>
      <c r="BB78" s="600"/>
      <c r="BC78" s="600"/>
      <c r="BD78" s="600"/>
      <c r="BE78" s="529"/>
      <c r="BF78" s="529"/>
      <c r="BG78" s="529"/>
      <c r="BH78" s="873"/>
      <c r="BI78" s="600"/>
      <c r="BJ78" s="201"/>
      <c r="BK78" s="201"/>
      <c r="BN78" s="7"/>
    </row>
    <row r="79" s="9" customFormat="1" ht="80.1" customHeight="1" spans="1:66">
      <c r="A79" s="23">
        <f>SUBTOTAL(3,C$9:C79)</f>
        <v>65</v>
      </c>
      <c r="B79" s="55" t="s">
        <v>1234</v>
      </c>
      <c r="C79" s="35" t="s">
        <v>79</v>
      </c>
      <c r="D79" s="55" t="s">
        <v>1235</v>
      </c>
      <c r="E79" s="35">
        <v>2019</v>
      </c>
      <c r="F79" s="35">
        <v>5492</v>
      </c>
      <c r="G79" s="35"/>
      <c r="H79" s="81" t="s">
        <v>244</v>
      </c>
      <c r="I79" s="37">
        <v>3000</v>
      </c>
      <c r="J79" s="37">
        <v>5492</v>
      </c>
      <c r="K79" s="37">
        <v>5492</v>
      </c>
      <c r="L79" s="36">
        <v>5492</v>
      </c>
      <c r="M79" s="36"/>
      <c r="N79" s="112" t="s">
        <v>1012</v>
      </c>
      <c r="O79" s="133"/>
      <c r="P79" s="134"/>
      <c r="Q79" s="134"/>
      <c r="R79" s="134"/>
      <c r="S79" s="134"/>
      <c r="T79" s="134"/>
      <c r="U79" s="134"/>
      <c r="V79" s="134"/>
      <c r="W79" s="134"/>
      <c r="X79" s="90"/>
      <c r="Y79" s="90"/>
      <c r="Z79" s="132"/>
      <c r="AA79" s="132"/>
      <c r="AB79" s="132"/>
      <c r="AC79" s="132"/>
      <c r="AD79" s="132"/>
      <c r="AE79" s="132"/>
      <c r="AF79" s="132"/>
      <c r="AG79" s="132"/>
      <c r="AH79" s="132"/>
      <c r="AI79" s="132"/>
      <c r="AJ79" s="132"/>
      <c r="AK79" s="595"/>
      <c r="AL79" s="595"/>
      <c r="AM79" s="595"/>
      <c r="AN79" s="132">
        <v>1500</v>
      </c>
      <c r="AO79" s="132"/>
      <c r="AP79" s="132">
        <v>3992</v>
      </c>
      <c r="AQ79" s="90"/>
      <c r="AR79" s="112" t="s">
        <v>117</v>
      </c>
      <c r="AS79" s="34" t="s">
        <v>455</v>
      </c>
      <c r="AT79" s="34" t="s">
        <v>986</v>
      </c>
      <c r="AU79" s="93"/>
      <c r="AV79" s="600"/>
      <c r="AW79" s="840"/>
      <c r="AX79" s="840"/>
      <c r="AY79" s="840"/>
      <c r="AZ79" s="840"/>
      <c r="BA79" s="529"/>
      <c r="BB79" s="600"/>
      <c r="BC79" s="600"/>
      <c r="BD79" s="600"/>
      <c r="BE79" s="529"/>
      <c r="BF79" s="529"/>
      <c r="BG79" s="529"/>
      <c r="BH79" s="873"/>
      <c r="BI79" s="600"/>
      <c r="BJ79" s="201"/>
      <c r="BK79" s="201"/>
      <c r="BN79" s="7"/>
    </row>
    <row r="80" s="9" customFormat="1" ht="90" customHeight="1" spans="1:66">
      <c r="A80" s="23">
        <f>SUBTOTAL(3,C$9:C80)</f>
        <v>66</v>
      </c>
      <c r="B80" s="55" t="s">
        <v>1236</v>
      </c>
      <c r="C80" s="23" t="s">
        <v>562</v>
      </c>
      <c r="D80" s="60" t="s">
        <v>1237</v>
      </c>
      <c r="E80" s="23" t="s">
        <v>575</v>
      </c>
      <c r="F80" s="67">
        <v>17926</v>
      </c>
      <c r="G80" s="38">
        <v>2532</v>
      </c>
      <c r="H80" s="134"/>
      <c r="I80" s="67">
        <v>800</v>
      </c>
      <c r="J80" s="67">
        <v>2200</v>
      </c>
      <c r="K80" s="67">
        <v>3750</v>
      </c>
      <c r="L80" s="38">
        <v>6000</v>
      </c>
      <c r="M80" s="134"/>
      <c r="N80" s="112" t="s">
        <v>1238</v>
      </c>
      <c r="O80" s="133"/>
      <c r="P80" s="134"/>
      <c r="Q80" s="134"/>
      <c r="R80" s="134"/>
      <c r="S80" s="134"/>
      <c r="T80" s="134"/>
      <c r="U80" s="134"/>
      <c r="V80" s="134"/>
      <c r="W80" s="134"/>
      <c r="X80" s="90"/>
      <c r="Y80" s="90"/>
      <c r="Z80" s="132">
        <v>250</v>
      </c>
      <c r="AA80" s="132">
        <v>0</v>
      </c>
      <c r="AB80" s="132">
        <v>250</v>
      </c>
      <c r="AC80" s="132">
        <v>97</v>
      </c>
      <c r="AD80" s="132">
        <v>97</v>
      </c>
      <c r="AE80" s="132"/>
      <c r="AF80" s="713"/>
      <c r="AG80" s="713"/>
      <c r="AH80" s="713"/>
      <c r="AI80" s="132">
        <v>250</v>
      </c>
      <c r="AJ80" s="132">
        <v>30</v>
      </c>
      <c r="AK80" s="132">
        <v>220</v>
      </c>
      <c r="AL80" s="595"/>
      <c r="AM80" s="595"/>
      <c r="AN80" s="595"/>
      <c r="AO80" s="595"/>
      <c r="AP80" s="132">
        <v>6000</v>
      </c>
      <c r="AQ80" s="90"/>
      <c r="AR80" s="90" t="s">
        <v>1239</v>
      </c>
      <c r="AS80" s="123" t="s">
        <v>455</v>
      </c>
      <c r="AT80" s="123" t="s">
        <v>986</v>
      </c>
      <c r="AU80" s="91"/>
      <c r="AV80" s="600"/>
      <c r="AW80" s="840"/>
      <c r="AX80" s="840"/>
      <c r="AY80" s="840"/>
      <c r="AZ80" s="840"/>
      <c r="BA80" s="529"/>
      <c r="BB80" s="600"/>
      <c r="BC80" s="600"/>
      <c r="BD80" s="600"/>
      <c r="BE80" s="529"/>
      <c r="BF80" s="529"/>
      <c r="BG80" s="529"/>
      <c r="BH80" s="873"/>
      <c r="BI80" s="600"/>
      <c r="BJ80" s="201"/>
      <c r="BK80" s="201"/>
      <c r="BN80" s="7"/>
    </row>
    <row r="81" s="9" customFormat="1" ht="57" customHeight="1" spans="1:66">
      <c r="A81" s="23">
        <f>SUBTOTAL(3,C$9:C81)</f>
        <v>67</v>
      </c>
      <c r="B81" s="55" t="s">
        <v>1240</v>
      </c>
      <c r="C81" s="35" t="s">
        <v>562</v>
      </c>
      <c r="D81" s="55" t="s">
        <v>1241</v>
      </c>
      <c r="E81" s="35" t="s">
        <v>1242</v>
      </c>
      <c r="F81" s="38">
        <v>40354</v>
      </c>
      <c r="G81" s="38">
        <v>21305</v>
      </c>
      <c r="H81" s="134"/>
      <c r="I81" s="67">
        <v>100</v>
      </c>
      <c r="J81" s="67">
        <v>400</v>
      </c>
      <c r="K81" s="67">
        <v>700</v>
      </c>
      <c r="L81" s="38">
        <v>1000</v>
      </c>
      <c r="M81" s="134"/>
      <c r="N81" s="123" t="s">
        <v>1243</v>
      </c>
      <c r="O81" s="133"/>
      <c r="P81" s="134"/>
      <c r="Q81" s="134"/>
      <c r="R81" s="134"/>
      <c r="S81" s="134"/>
      <c r="T81" s="134"/>
      <c r="U81" s="134"/>
      <c r="V81" s="134"/>
      <c r="W81" s="134"/>
      <c r="X81" s="90"/>
      <c r="Y81" s="90"/>
      <c r="Z81" s="115"/>
      <c r="AA81" s="115"/>
      <c r="AB81" s="115"/>
      <c r="AC81" s="115"/>
      <c r="AD81" s="115"/>
      <c r="AE81" s="115"/>
      <c r="AF81" s="115"/>
      <c r="AG81" s="115"/>
      <c r="AH81" s="115"/>
      <c r="AI81" s="115"/>
      <c r="AJ81" s="115"/>
      <c r="AK81" s="115"/>
      <c r="AL81" s="595"/>
      <c r="AM81" s="595"/>
      <c r="AN81" s="595"/>
      <c r="AO81" s="595"/>
      <c r="AP81" s="132">
        <v>1000</v>
      </c>
      <c r="AQ81" s="90"/>
      <c r="AR81" s="90" t="s">
        <v>737</v>
      </c>
      <c r="AS81" s="123" t="s">
        <v>455</v>
      </c>
      <c r="AT81" s="34" t="s">
        <v>986</v>
      </c>
      <c r="AU81" s="34"/>
      <c r="AV81" s="600"/>
      <c r="AW81" s="840"/>
      <c r="AX81" s="840"/>
      <c r="AY81" s="840"/>
      <c r="AZ81" s="840"/>
      <c r="BA81" s="529"/>
      <c r="BB81" s="600"/>
      <c r="BC81" s="600"/>
      <c r="BD81" s="600"/>
      <c r="BE81" s="529"/>
      <c r="BF81" s="529"/>
      <c r="BG81" s="529"/>
      <c r="BH81" s="873"/>
      <c r="BI81" s="600"/>
      <c r="BJ81" s="201"/>
      <c r="BK81" s="201"/>
      <c r="BN81" s="7"/>
    </row>
    <row r="82" s="9" customFormat="1" ht="80.1" customHeight="1" spans="1:66">
      <c r="A82" s="23">
        <f>SUBTOTAL(3,C$9:C82)</f>
        <v>68</v>
      </c>
      <c r="B82" s="55" t="s">
        <v>1244</v>
      </c>
      <c r="C82" s="35" t="s">
        <v>562</v>
      </c>
      <c r="D82" s="55" t="s">
        <v>1245</v>
      </c>
      <c r="E82" s="35" t="s">
        <v>564</v>
      </c>
      <c r="F82" s="38">
        <v>5497</v>
      </c>
      <c r="G82" s="38">
        <v>679</v>
      </c>
      <c r="H82" s="134"/>
      <c r="I82" s="67">
        <v>100</v>
      </c>
      <c r="J82" s="67">
        <v>400</v>
      </c>
      <c r="K82" s="67">
        <v>700</v>
      </c>
      <c r="L82" s="38">
        <v>1000</v>
      </c>
      <c r="M82" s="134"/>
      <c r="N82" s="123" t="s">
        <v>1246</v>
      </c>
      <c r="O82" s="133"/>
      <c r="P82" s="134"/>
      <c r="Q82" s="134"/>
      <c r="R82" s="134"/>
      <c r="S82" s="134"/>
      <c r="T82" s="134"/>
      <c r="U82" s="134"/>
      <c r="V82" s="134"/>
      <c r="W82" s="134"/>
      <c r="X82" s="90"/>
      <c r="Y82" s="90"/>
      <c r="Z82" s="132">
        <v>10.98</v>
      </c>
      <c r="AA82" s="132">
        <v>10.98</v>
      </c>
      <c r="AB82" s="132"/>
      <c r="AC82" s="132">
        <v>6.3</v>
      </c>
      <c r="AD82" s="132">
        <v>6.3</v>
      </c>
      <c r="AE82" s="132"/>
      <c r="AF82" s="132"/>
      <c r="AG82" s="132"/>
      <c r="AH82" s="132"/>
      <c r="AI82" s="132">
        <v>50.87</v>
      </c>
      <c r="AJ82" s="132">
        <v>50.87</v>
      </c>
      <c r="AK82" s="132"/>
      <c r="AL82" s="595"/>
      <c r="AM82" s="595"/>
      <c r="AN82" s="595"/>
      <c r="AO82" s="595"/>
      <c r="AP82" s="132">
        <v>1000</v>
      </c>
      <c r="AQ82" s="90"/>
      <c r="AR82" s="90" t="s">
        <v>1247</v>
      </c>
      <c r="AS82" s="123" t="s">
        <v>455</v>
      </c>
      <c r="AT82" s="34" t="s">
        <v>986</v>
      </c>
      <c r="AU82" s="34"/>
      <c r="AV82" s="600"/>
      <c r="AW82" s="840"/>
      <c r="AX82" s="840"/>
      <c r="AY82" s="840"/>
      <c r="AZ82" s="840"/>
      <c r="BA82" s="529"/>
      <c r="BB82" s="600"/>
      <c r="BC82" s="600"/>
      <c r="BD82" s="600"/>
      <c r="BE82" s="529"/>
      <c r="BF82" s="529"/>
      <c r="BG82" s="529"/>
      <c r="BH82" s="873"/>
      <c r="BI82" s="600"/>
      <c r="BJ82" s="201"/>
      <c r="BK82" s="201"/>
      <c r="BN82" s="7"/>
    </row>
    <row r="83" s="9" customFormat="1" ht="80.1" customHeight="1" spans="1:66">
      <c r="A83" s="23">
        <f>SUBTOTAL(3,C$9:C83)</f>
        <v>69</v>
      </c>
      <c r="B83" s="55" t="s">
        <v>1248</v>
      </c>
      <c r="C83" s="35" t="s">
        <v>79</v>
      </c>
      <c r="D83" s="55" t="s">
        <v>1249</v>
      </c>
      <c r="E83" s="35">
        <v>2019</v>
      </c>
      <c r="F83" s="38">
        <v>1500</v>
      </c>
      <c r="G83" s="38"/>
      <c r="H83" s="81" t="s">
        <v>122</v>
      </c>
      <c r="I83" s="36"/>
      <c r="J83" s="36"/>
      <c r="K83" s="36">
        <v>1500</v>
      </c>
      <c r="L83" s="36">
        <v>1500</v>
      </c>
      <c r="M83" s="134"/>
      <c r="N83" s="791" t="s">
        <v>1250</v>
      </c>
      <c r="O83" s="133"/>
      <c r="P83" s="134"/>
      <c r="Q83" s="134"/>
      <c r="R83" s="134"/>
      <c r="S83" s="134"/>
      <c r="T83" s="134"/>
      <c r="U83" s="134"/>
      <c r="V83" s="134"/>
      <c r="W83" s="134"/>
      <c r="X83" s="90"/>
      <c r="Y83" s="90"/>
      <c r="Z83" s="132"/>
      <c r="AA83" s="132"/>
      <c r="AB83" s="132"/>
      <c r="AC83" s="132"/>
      <c r="AD83" s="132"/>
      <c r="AE83" s="132"/>
      <c r="AF83" s="132"/>
      <c r="AG83" s="132"/>
      <c r="AH83" s="132"/>
      <c r="AI83" s="132"/>
      <c r="AJ83" s="132"/>
      <c r="AK83" s="132"/>
      <c r="AL83" s="595"/>
      <c r="AM83" s="595"/>
      <c r="AN83" s="595"/>
      <c r="AO83" s="595"/>
      <c r="AP83" s="132"/>
      <c r="AQ83" s="90"/>
      <c r="AR83" s="90"/>
      <c r="AS83" s="791" t="s">
        <v>1251</v>
      </c>
      <c r="AT83" s="791" t="s">
        <v>986</v>
      </c>
      <c r="AU83" s="34"/>
      <c r="AV83" s="600"/>
      <c r="AW83" s="840"/>
      <c r="AX83" s="840"/>
      <c r="AY83" s="840"/>
      <c r="AZ83" s="840"/>
      <c r="BA83" s="529"/>
      <c r="BB83" s="600"/>
      <c r="BC83" s="600"/>
      <c r="BD83" s="600"/>
      <c r="BE83" s="529"/>
      <c r="BF83" s="529"/>
      <c r="BG83" s="529"/>
      <c r="BH83" s="873"/>
      <c r="BI83" s="600"/>
      <c r="BJ83" s="201"/>
      <c r="BK83" s="201"/>
      <c r="BN83" s="7"/>
    </row>
    <row r="84" s="9" customFormat="1" ht="65.1" customHeight="1" spans="1:66">
      <c r="A84" s="23">
        <f>SUBTOTAL(3,C$9:C84)</f>
        <v>70</v>
      </c>
      <c r="B84" s="55" t="s">
        <v>1252</v>
      </c>
      <c r="C84" s="35" t="s">
        <v>79</v>
      </c>
      <c r="D84" s="55" t="s">
        <v>1253</v>
      </c>
      <c r="E84" s="35" t="s">
        <v>81</v>
      </c>
      <c r="F84" s="257">
        <v>14118</v>
      </c>
      <c r="G84" s="257"/>
      <c r="H84" s="257" t="s">
        <v>131</v>
      </c>
      <c r="I84" s="257"/>
      <c r="J84" s="257"/>
      <c r="K84" s="257"/>
      <c r="L84" s="257">
        <v>2000</v>
      </c>
      <c r="M84" s="837"/>
      <c r="N84" s="112" t="s">
        <v>284</v>
      </c>
      <c r="O84" s="111"/>
      <c r="P84" s="67"/>
      <c r="Q84" s="67"/>
      <c r="R84" s="67"/>
      <c r="S84" s="67"/>
      <c r="T84" s="67"/>
      <c r="U84" s="67"/>
      <c r="V84" s="67"/>
      <c r="W84" s="67"/>
      <c r="X84" s="90"/>
      <c r="Y84" s="90"/>
      <c r="Z84" s="132">
        <v>115</v>
      </c>
      <c r="AA84" s="132"/>
      <c r="AB84" s="132">
        <v>115</v>
      </c>
      <c r="AC84" s="132"/>
      <c r="AD84" s="132"/>
      <c r="AE84" s="132"/>
      <c r="AF84" s="132"/>
      <c r="AG84" s="132"/>
      <c r="AH84" s="132"/>
      <c r="AI84" s="132">
        <v>15</v>
      </c>
      <c r="AJ84" s="132"/>
      <c r="AK84" s="132">
        <v>15</v>
      </c>
      <c r="AL84" s="132"/>
      <c r="AM84" s="132"/>
      <c r="AN84" s="132"/>
      <c r="AO84" s="132"/>
      <c r="AP84" s="132">
        <v>2000</v>
      </c>
      <c r="AQ84" s="90"/>
      <c r="AR84" s="112" t="s">
        <v>1254</v>
      </c>
      <c r="AS84" s="112" t="s">
        <v>455</v>
      </c>
      <c r="AT84" s="112" t="s">
        <v>979</v>
      </c>
      <c r="AU84" s="93"/>
      <c r="AV84" s="600"/>
      <c r="AW84" s="840"/>
      <c r="AX84" s="840"/>
      <c r="AY84" s="840"/>
      <c r="AZ84" s="840"/>
      <c r="BA84" s="529"/>
      <c r="BB84" s="600"/>
      <c r="BC84" s="600"/>
      <c r="BD84" s="600"/>
      <c r="BE84" s="529"/>
      <c r="BF84" s="529"/>
      <c r="BG84" s="529"/>
      <c r="BH84" s="873"/>
      <c r="BI84" s="600"/>
      <c r="BJ84" s="201"/>
      <c r="BK84" s="201"/>
      <c r="BN84" s="7"/>
    </row>
    <row r="85" s="9" customFormat="1" ht="86.1" customHeight="1" spans="1:66">
      <c r="A85" s="23">
        <f>SUBTOTAL(3,C$9:C85)</f>
        <v>71</v>
      </c>
      <c r="B85" s="55" t="s">
        <v>1255</v>
      </c>
      <c r="C85" s="646" t="s">
        <v>562</v>
      </c>
      <c r="D85" s="55" t="s">
        <v>1256</v>
      </c>
      <c r="E85" s="35" t="s">
        <v>627</v>
      </c>
      <c r="F85" s="257">
        <v>11414</v>
      </c>
      <c r="G85" s="257">
        <v>5846</v>
      </c>
      <c r="H85" s="257"/>
      <c r="I85" s="257"/>
      <c r="J85" s="257">
        <v>500</v>
      </c>
      <c r="K85" s="257">
        <v>1000</v>
      </c>
      <c r="L85" s="257">
        <v>2000</v>
      </c>
      <c r="M85" s="257"/>
      <c r="N85" s="112" t="s">
        <v>1257</v>
      </c>
      <c r="O85" s="133"/>
      <c r="P85" s="134"/>
      <c r="Q85" s="134"/>
      <c r="R85" s="134"/>
      <c r="S85" s="134"/>
      <c r="T85" s="134"/>
      <c r="U85" s="134"/>
      <c r="V85" s="134"/>
      <c r="W85" s="134"/>
      <c r="X85" s="90"/>
      <c r="Y85" s="90"/>
      <c r="Z85" s="132">
        <v>128</v>
      </c>
      <c r="AA85" s="132">
        <v>108</v>
      </c>
      <c r="AB85" s="132">
        <v>20</v>
      </c>
      <c r="AC85" s="132"/>
      <c r="AD85" s="132"/>
      <c r="AE85" s="132"/>
      <c r="AF85" s="132"/>
      <c r="AG85" s="132"/>
      <c r="AH85" s="132"/>
      <c r="AI85" s="132">
        <v>128</v>
      </c>
      <c r="AJ85" s="132">
        <v>108</v>
      </c>
      <c r="AK85" s="132">
        <v>20</v>
      </c>
      <c r="AL85" s="132"/>
      <c r="AM85" s="132"/>
      <c r="AN85" s="132"/>
      <c r="AO85" s="132"/>
      <c r="AP85" s="132">
        <v>2000</v>
      </c>
      <c r="AQ85" s="90"/>
      <c r="AR85" s="674" t="s">
        <v>1258</v>
      </c>
      <c r="AS85" s="34" t="s">
        <v>455</v>
      </c>
      <c r="AT85" s="879" t="s">
        <v>979</v>
      </c>
      <c r="AU85" s="34"/>
      <c r="AV85" s="600"/>
      <c r="AW85" s="840"/>
      <c r="AX85" s="840"/>
      <c r="AY85" s="840"/>
      <c r="AZ85" s="840"/>
      <c r="BA85" s="529"/>
      <c r="BB85" s="600"/>
      <c r="BC85" s="600"/>
      <c r="BD85" s="600"/>
      <c r="BE85" s="529"/>
      <c r="BF85" s="529"/>
      <c r="BG85" s="529"/>
      <c r="BH85" s="873"/>
      <c r="BI85" s="600"/>
      <c r="BJ85" s="201"/>
      <c r="BK85" s="201"/>
      <c r="BN85" s="7"/>
    </row>
    <row r="86" s="9" customFormat="1" ht="80.1" customHeight="1" spans="1:66">
      <c r="A86" s="23">
        <f>SUBTOTAL(3,C$9:C86)</f>
        <v>72</v>
      </c>
      <c r="B86" s="60" t="s">
        <v>1259</v>
      </c>
      <c r="C86" s="76" t="s">
        <v>562</v>
      </c>
      <c r="D86" s="88" t="s">
        <v>1260</v>
      </c>
      <c r="E86" s="23" t="s">
        <v>564</v>
      </c>
      <c r="F86" s="876">
        <v>11419</v>
      </c>
      <c r="G86" s="876">
        <v>2123</v>
      </c>
      <c r="H86" s="67"/>
      <c r="I86" s="67">
        <v>200</v>
      </c>
      <c r="J86" s="67">
        <v>500</v>
      </c>
      <c r="K86" s="67">
        <v>800</v>
      </c>
      <c r="L86" s="257">
        <v>1000</v>
      </c>
      <c r="M86" s="257"/>
      <c r="N86" s="112" t="s">
        <v>1261</v>
      </c>
      <c r="O86" s="133"/>
      <c r="P86" s="134"/>
      <c r="Q86" s="134"/>
      <c r="R86" s="134"/>
      <c r="S86" s="134"/>
      <c r="T86" s="134"/>
      <c r="U86" s="134"/>
      <c r="V86" s="134"/>
      <c r="W86" s="134"/>
      <c r="X86" s="90"/>
      <c r="Y86" s="90"/>
      <c r="Z86" s="132">
        <v>250</v>
      </c>
      <c r="AA86" s="132">
        <v>240</v>
      </c>
      <c r="AB86" s="132">
        <v>10</v>
      </c>
      <c r="AC86" s="132"/>
      <c r="AD86" s="132"/>
      <c r="AE86" s="132"/>
      <c r="AF86" s="132"/>
      <c r="AG86" s="132"/>
      <c r="AH86" s="132"/>
      <c r="AI86" s="132">
        <v>250</v>
      </c>
      <c r="AJ86" s="132">
        <v>240</v>
      </c>
      <c r="AK86" s="132">
        <v>10</v>
      </c>
      <c r="AL86" s="132"/>
      <c r="AM86" s="132"/>
      <c r="AN86" s="132"/>
      <c r="AO86" s="132"/>
      <c r="AP86" s="132">
        <v>1000</v>
      </c>
      <c r="AQ86" s="90"/>
      <c r="AR86" s="112" t="s">
        <v>1262</v>
      </c>
      <c r="AS86" s="34" t="s">
        <v>455</v>
      </c>
      <c r="AT86" s="879" t="s">
        <v>979</v>
      </c>
      <c r="AU86" s="34"/>
      <c r="AV86" s="600"/>
      <c r="AW86" s="840"/>
      <c r="AX86" s="840"/>
      <c r="AY86" s="840"/>
      <c r="AZ86" s="840"/>
      <c r="BA86" s="529"/>
      <c r="BB86" s="600"/>
      <c r="BC86" s="600"/>
      <c r="BD86" s="600"/>
      <c r="BE86" s="529"/>
      <c r="BF86" s="529"/>
      <c r="BG86" s="529"/>
      <c r="BH86" s="873"/>
      <c r="BI86" s="600"/>
      <c r="BJ86" s="201"/>
      <c r="BK86" s="201"/>
      <c r="BN86" s="7"/>
    </row>
    <row r="87" s="9" customFormat="1" ht="80.1" customHeight="1" spans="1:66">
      <c r="A87" s="23">
        <f>SUBTOTAL(3,C$9:C87)</f>
        <v>73</v>
      </c>
      <c r="B87" s="55" t="s">
        <v>1263</v>
      </c>
      <c r="C87" s="67" t="s">
        <v>562</v>
      </c>
      <c r="D87" s="54" t="s">
        <v>1264</v>
      </c>
      <c r="E87" s="67" t="s">
        <v>575</v>
      </c>
      <c r="F87" s="67">
        <v>2556.03</v>
      </c>
      <c r="G87" s="38">
        <v>572</v>
      </c>
      <c r="H87" s="81"/>
      <c r="I87" s="67">
        <v>200</v>
      </c>
      <c r="J87" s="67">
        <v>200</v>
      </c>
      <c r="K87" s="67">
        <v>500</v>
      </c>
      <c r="L87" s="38">
        <v>1400</v>
      </c>
      <c r="M87" s="134"/>
      <c r="N87" s="123" t="s">
        <v>1265</v>
      </c>
      <c r="O87" s="133"/>
      <c r="P87" s="134"/>
      <c r="Q87" s="134"/>
      <c r="R87" s="134"/>
      <c r="S87" s="134"/>
      <c r="T87" s="134"/>
      <c r="U87" s="134"/>
      <c r="V87" s="134"/>
      <c r="W87" s="134"/>
      <c r="X87" s="90"/>
      <c r="Y87" s="90"/>
      <c r="Z87" s="132"/>
      <c r="AA87" s="132"/>
      <c r="AB87" s="132"/>
      <c r="AC87" s="132"/>
      <c r="AD87" s="132"/>
      <c r="AE87" s="132"/>
      <c r="AF87" s="132"/>
      <c r="AG87" s="132"/>
      <c r="AH87" s="132"/>
      <c r="AI87" s="132"/>
      <c r="AJ87" s="132"/>
      <c r="AK87" s="132"/>
      <c r="AL87" s="595"/>
      <c r="AM87" s="595"/>
      <c r="AN87" s="595"/>
      <c r="AO87" s="595"/>
      <c r="AP87" s="132">
        <v>1400</v>
      </c>
      <c r="AQ87" s="90"/>
      <c r="AR87" s="90" t="s">
        <v>453</v>
      </c>
      <c r="AS87" s="123" t="s">
        <v>455</v>
      </c>
      <c r="AT87" s="123" t="s">
        <v>979</v>
      </c>
      <c r="AU87" s="91"/>
      <c r="AV87" s="600"/>
      <c r="AW87" s="840"/>
      <c r="AX87" s="840"/>
      <c r="AY87" s="840"/>
      <c r="AZ87" s="840"/>
      <c r="BA87" s="529"/>
      <c r="BB87" s="600"/>
      <c r="BC87" s="600"/>
      <c r="BD87" s="600"/>
      <c r="BE87" s="529"/>
      <c r="BF87" s="529"/>
      <c r="BG87" s="529"/>
      <c r="BH87" s="873"/>
      <c r="BI87" s="600"/>
      <c r="BJ87" s="201"/>
      <c r="BK87" s="201"/>
      <c r="BN87" s="7"/>
    </row>
    <row r="88" s="9" customFormat="1" ht="80.1" customHeight="1" spans="1:66">
      <c r="A88" s="23">
        <f>SUBTOTAL(3,C$9:C88)</f>
        <v>74</v>
      </c>
      <c r="B88" s="55" t="s">
        <v>1266</v>
      </c>
      <c r="C88" s="35" t="s">
        <v>810</v>
      </c>
      <c r="D88" s="34" t="s">
        <v>1267</v>
      </c>
      <c r="E88" s="35" t="s">
        <v>841</v>
      </c>
      <c r="F88" s="36">
        <v>8018</v>
      </c>
      <c r="G88" s="36">
        <v>7018</v>
      </c>
      <c r="H88" s="81" t="s">
        <v>131</v>
      </c>
      <c r="I88" s="81"/>
      <c r="J88" s="37">
        <v>200</v>
      </c>
      <c r="K88" s="37">
        <v>500</v>
      </c>
      <c r="L88" s="38">
        <v>1000</v>
      </c>
      <c r="M88" s="134"/>
      <c r="N88" s="123" t="s">
        <v>971</v>
      </c>
      <c r="O88" s="133"/>
      <c r="P88" s="134"/>
      <c r="Q88" s="134"/>
      <c r="R88" s="134"/>
      <c r="S88" s="134"/>
      <c r="T88" s="134"/>
      <c r="U88" s="134"/>
      <c r="V88" s="134"/>
      <c r="W88" s="134"/>
      <c r="X88" s="90"/>
      <c r="Y88" s="90"/>
      <c r="Z88" s="132">
        <v>195</v>
      </c>
      <c r="AA88" s="132">
        <v>190</v>
      </c>
      <c r="AB88" s="132">
        <v>5</v>
      </c>
      <c r="AC88" s="132"/>
      <c r="AD88" s="132"/>
      <c r="AE88" s="132"/>
      <c r="AF88" s="132"/>
      <c r="AG88" s="132"/>
      <c r="AH88" s="132"/>
      <c r="AI88" s="132">
        <v>195</v>
      </c>
      <c r="AJ88" s="132">
        <v>190</v>
      </c>
      <c r="AK88" s="132">
        <v>5</v>
      </c>
      <c r="AL88" s="595"/>
      <c r="AM88" s="595"/>
      <c r="AN88" s="595"/>
      <c r="AO88" s="595"/>
      <c r="AP88" s="132">
        <v>1000</v>
      </c>
      <c r="AQ88" s="90"/>
      <c r="AR88" s="244" t="s">
        <v>1268</v>
      </c>
      <c r="AS88" s="123" t="s">
        <v>455</v>
      </c>
      <c r="AT88" s="123" t="s">
        <v>979</v>
      </c>
      <c r="AU88" s="91"/>
      <c r="AV88" s="600"/>
      <c r="AW88" s="840"/>
      <c r="AX88" s="840"/>
      <c r="AY88" s="840"/>
      <c r="AZ88" s="840"/>
      <c r="BA88" s="529"/>
      <c r="BB88" s="600"/>
      <c r="BC88" s="600"/>
      <c r="BD88" s="600"/>
      <c r="BE88" s="529"/>
      <c r="BF88" s="529"/>
      <c r="BG88" s="529"/>
      <c r="BH88" s="873"/>
      <c r="BI88" s="600"/>
      <c r="BJ88" s="201"/>
      <c r="BK88" s="201"/>
      <c r="BN88" s="7"/>
    </row>
    <row r="89" s="9" customFormat="1" ht="80.1" customHeight="1" spans="1:66">
      <c r="A89" s="23">
        <f>SUBTOTAL(3,C$9:C89)</f>
        <v>75</v>
      </c>
      <c r="B89" s="55" t="s">
        <v>1269</v>
      </c>
      <c r="C89" s="35" t="s">
        <v>562</v>
      </c>
      <c r="D89" s="55" t="s">
        <v>1270</v>
      </c>
      <c r="E89" s="35" t="s">
        <v>1271</v>
      </c>
      <c r="F89" s="38">
        <v>40000</v>
      </c>
      <c r="G89" s="38">
        <v>36787</v>
      </c>
      <c r="H89" s="134"/>
      <c r="I89" s="67">
        <v>600</v>
      </c>
      <c r="J89" s="67">
        <v>1600</v>
      </c>
      <c r="K89" s="67">
        <v>2000</v>
      </c>
      <c r="L89" s="38">
        <v>2000</v>
      </c>
      <c r="M89" s="134"/>
      <c r="N89" s="123" t="s">
        <v>1272</v>
      </c>
      <c r="O89" s="133"/>
      <c r="P89" s="134"/>
      <c r="Q89" s="134"/>
      <c r="R89" s="134"/>
      <c r="S89" s="134"/>
      <c r="T89" s="134"/>
      <c r="U89" s="134"/>
      <c r="V89" s="134"/>
      <c r="W89" s="134"/>
      <c r="X89" s="90"/>
      <c r="Y89" s="90"/>
      <c r="Z89" s="132">
        <v>125</v>
      </c>
      <c r="AA89" s="132">
        <v>125</v>
      </c>
      <c r="AB89" s="132"/>
      <c r="AC89" s="132">
        <v>10.2495</v>
      </c>
      <c r="AD89" s="132">
        <v>10.2495</v>
      </c>
      <c r="AE89" s="132"/>
      <c r="AF89" s="132"/>
      <c r="AG89" s="132"/>
      <c r="AH89" s="132"/>
      <c r="AI89" s="132">
        <v>125</v>
      </c>
      <c r="AJ89" s="132">
        <v>125</v>
      </c>
      <c r="AK89" s="132"/>
      <c r="AL89" s="595"/>
      <c r="AM89" s="595"/>
      <c r="AN89" s="595"/>
      <c r="AO89" s="821">
        <v>36787</v>
      </c>
      <c r="AP89" s="132">
        <v>1000</v>
      </c>
      <c r="AQ89" s="90"/>
      <c r="AR89" s="90" t="s">
        <v>1273</v>
      </c>
      <c r="AS89" s="123" t="s">
        <v>455</v>
      </c>
      <c r="AT89" s="123" t="s">
        <v>240</v>
      </c>
      <c r="AU89" s="91"/>
      <c r="AV89" s="600"/>
      <c r="AW89" s="840"/>
      <c r="AX89" s="840"/>
      <c r="AY89" s="840"/>
      <c r="AZ89" s="840"/>
      <c r="BA89" s="529"/>
      <c r="BB89" s="600"/>
      <c r="BC89" s="600"/>
      <c r="BD89" s="600"/>
      <c r="BE89" s="529"/>
      <c r="BF89" s="529"/>
      <c r="BG89" s="529"/>
      <c r="BH89" s="873"/>
      <c r="BI89" s="600"/>
      <c r="BJ89" s="201"/>
      <c r="BK89" s="201"/>
      <c r="BN89" s="7"/>
    </row>
    <row r="90" s="9" customFormat="1" ht="80.1" customHeight="1" spans="1:66">
      <c r="A90" s="23">
        <f>SUBTOTAL(3,C$9:C90)</f>
        <v>76</v>
      </c>
      <c r="B90" s="55" t="s">
        <v>1274</v>
      </c>
      <c r="C90" s="35" t="s">
        <v>79</v>
      </c>
      <c r="D90" s="55" t="s">
        <v>1275</v>
      </c>
      <c r="E90" s="35" t="s">
        <v>143</v>
      </c>
      <c r="F90" s="36">
        <v>58837.06</v>
      </c>
      <c r="G90" s="36"/>
      <c r="H90" s="81" t="s">
        <v>131</v>
      </c>
      <c r="I90" s="81"/>
      <c r="J90" s="81"/>
      <c r="K90" s="81"/>
      <c r="L90" s="36">
        <v>1000</v>
      </c>
      <c r="M90" s="36"/>
      <c r="N90" s="112" t="s">
        <v>284</v>
      </c>
      <c r="O90" s="133"/>
      <c r="P90" s="134"/>
      <c r="Q90" s="134"/>
      <c r="R90" s="134"/>
      <c r="S90" s="134"/>
      <c r="T90" s="134"/>
      <c r="U90" s="134"/>
      <c r="V90" s="134"/>
      <c r="W90" s="134"/>
      <c r="X90" s="90"/>
      <c r="Y90" s="90"/>
      <c r="Z90" s="132">
        <v>284.4915</v>
      </c>
      <c r="AA90" s="132"/>
      <c r="AB90" s="132">
        <v>284</v>
      </c>
      <c r="AC90" s="132">
        <v>13.347</v>
      </c>
      <c r="AD90" s="132"/>
      <c r="AE90" s="132"/>
      <c r="AF90" s="132"/>
      <c r="AG90" s="132"/>
      <c r="AH90" s="132"/>
      <c r="AI90" s="132">
        <v>141</v>
      </c>
      <c r="AJ90" s="132"/>
      <c r="AK90" s="595"/>
      <c r="AL90" s="595"/>
      <c r="AM90" s="595"/>
      <c r="AN90" s="595"/>
      <c r="AO90" s="595"/>
      <c r="AP90" s="132">
        <v>1000</v>
      </c>
      <c r="AQ90" s="90"/>
      <c r="AR90" s="112" t="s">
        <v>1276</v>
      </c>
      <c r="AS90" s="34" t="s">
        <v>1040</v>
      </c>
      <c r="AT90" s="34" t="s">
        <v>498</v>
      </c>
      <c r="AU90" s="93"/>
      <c r="AV90" s="600"/>
      <c r="AW90" s="840"/>
      <c r="AX90" s="840"/>
      <c r="AY90" s="840"/>
      <c r="AZ90" s="840"/>
      <c r="BA90" s="529"/>
      <c r="BB90" s="600"/>
      <c r="BC90" s="600"/>
      <c r="BD90" s="600"/>
      <c r="BE90" s="529"/>
      <c r="BF90" s="529"/>
      <c r="BG90" s="529"/>
      <c r="BH90" s="873"/>
      <c r="BI90" s="600"/>
      <c r="BJ90" s="201"/>
      <c r="BK90" s="201"/>
      <c r="BN90" s="7"/>
    </row>
    <row r="91" s="9" customFormat="1" ht="80.1" customHeight="1" spans="1:66">
      <c r="A91" s="23">
        <f>SUBTOTAL(3,C$9:C91)</f>
        <v>77</v>
      </c>
      <c r="B91" s="55" t="s">
        <v>1277</v>
      </c>
      <c r="C91" s="76" t="s">
        <v>79</v>
      </c>
      <c r="D91" s="55" t="s">
        <v>1278</v>
      </c>
      <c r="E91" s="77" t="s">
        <v>81</v>
      </c>
      <c r="F91" s="38">
        <v>13788</v>
      </c>
      <c r="G91" s="38"/>
      <c r="H91" s="81" t="s">
        <v>131</v>
      </c>
      <c r="I91" s="81"/>
      <c r="J91" s="37">
        <v>300</v>
      </c>
      <c r="K91" s="37">
        <v>600</v>
      </c>
      <c r="L91" s="36">
        <v>1000</v>
      </c>
      <c r="M91" s="36"/>
      <c r="N91" s="112" t="s">
        <v>1279</v>
      </c>
      <c r="O91" s="133"/>
      <c r="P91" s="134"/>
      <c r="Q91" s="134"/>
      <c r="R91" s="134"/>
      <c r="S91" s="134"/>
      <c r="T91" s="134"/>
      <c r="U91" s="134"/>
      <c r="V91" s="134"/>
      <c r="W91" s="134"/>
      <c r="X91" s="90"/>
      <c r="Y91" s="90"/>
      <c r="Z91" s="132">
        <v>120</v>
      </c>
      <c r="AA91" s="132"/>
      <c r="AB91" s="132">
        <v>120</v>
      </c>
      <c r="AC91" s="132">
        <v>9.264</v>
      </c>
      <c r="AD91" s="132">
        <v>9.264</v>
      </c>
      <c r="AE91" s="132"/>
      <c r="AF91" s="132"/>
      <c r="AG91" s="132"/>
      <c r="AH91" s="132"/>
      <c r="AI91" s="132">
        <v>114</v>
      </c>
      <c r="AJ91" s="132"/>
      <c r="AK91" s="595"/>
      <c r="AL91" s="595"/>
      <c r="AM91" s="595"/>
      <c r="AN91" s="595"/>
      <c r="AO91" s="595"/>
      <c r="AP91" s="595"/>
      <c r="AQ91" s="90"/>
      <c r="AR91" s="112" t="s">
        <v>1280</v>
      </c>
      <c r="AS91" s="34" t="s">
        <v>1040</v>
      </c>
      <c r="AT91" s="34" t="s">
        <v>498</v>
      </c>
      <c r="AU91" s="93"/>
      <c r="AV91" s="600"/>
      <c r="AW91" s="840"/>
      <c r="AX91" s="840"/>
      <c r="AY91" s="840"/>
      <c r="AZ91" s="840"/>
      <c r="BA91" s="529"/>
      <c r="BB91" s="600"/>
      <c r="BC91" s="600"/>
      <c r="BD91" s="600"/>
      <c r="BE91" s="529"/>
      <c r="BF91" s="529"/>
      <c r="BG91" s="529"/>
      <c r="BH91" s="873"/>
      <c r="BI91" s="600"/>
      <c r="BJ91" s="201"/>
      <c r="BK91" s="201"/>
      <c r="BN91" s="7"/>
    </row>
    <row r="92" s="9" customFormat="1" ht="80.1" customHeight="1" spans="1:66">
      <c r="A92" s="23">
        <f>SUBTOTAL(3,C$9:C92)</f>
        <v>78</v>
      </c>
      <c r="B92" s="55" t="s">
        <v>1281</v>
      </c>
      <c r="C92" s="76" t="s">
        <v>79</v>
      </c>
      <c r="D92" s="55" t="s">
        <v>1282</v>
      </c>
      <c r="E92" s="77" t="s">
        <v>143</v>
      </c>
      <c r="F92" s="38">
        <v>10390</v>
      </c>
      <c r="G92" s="38"/>
      <c r="H92" s="81" t="s">
        <v>131</v>
      </c>
      <c r="I92" s="36">
        <v>10.29</v>
      </c>
      <c r="J92" s="36">
        <v>41.17</v>
      </c>
      <c r="K92" s="36">
        <v>82.34</v>
      </c>
      <c r="L92" s="38">
        <v>1000</v>
      </c>
      <c r="M92" s="38"/>
      <c r="N92" s="34" t="s">
        <v>1283</v>
      </c>
      <c r="O92" s="133"/>
      <c r="P92" s="134"/>
      <c r="Q92" s="134"/>
      <c r="R92" s="134"/>
      <c r="S92" s="134"/>
      <c r="T92" s="134"/>
      <c r="U92" s="134"/>
      <c r="V92" s="134"/>
      <c r="W92" s="134"/>
      <c r="X92" s="90"/>
      <c r="Y92" s="90"/>
      <c r="Z92" s="132">
        <v>78.543</v>
      </c>
      <c r="AA92" s="132"/>
      <c r="AB92" s="132">
        <v>79</v>
      </c>
      <c r="AC92" s="132">
        <v>40.938</v>
      </c>
      <c r="AD92" s="132"/>
      <c r="AE92" s="132"/>
      <c r="AF92" s="132"/>
      <c r="AG92" s="132"/>
      <c r="AH92" s="132"/>
      <c r="AI92" s="132">
        <v>13</v>
      </c>
      <c r="AJ92" s="132"/>
      <c r="AK92" s="595"/>
      <c r="AL92" s="595"/>
      <c r="AM92" s="595"/>
      <c r="AN92" s="595"/>
      <c r="AO92" s="595"/>
      <c r="AP92" s="595"/>
      <c r="AQ92" s="90"/>
      <c r="AR92" s="112" t="s">
        <v>1055</v>
      </c>
      <c r="AS92" s="34" t="s">
        <v>1040</v>
      </c>
      <c r="AT92" s="34" t="s">
        <v>498</v>
      </c>
      <c r="AU92" s="93"/>
      <c r="AV92" s="600"/>
      <c r="AW92" s="840"/>
      <c r="AX92" s="840"/>
      <c r="AY92" s="840"/>
      <c r="AZ92" s="840"/>
      <c r="BA92" s="529"/>
      <c r="BB92" s="600"/>
      <c r="BC92" s="600"/>
      <c r="BD92" s="600"/>
      <c r="BE92" s="529"/>
      <c r="BF92" s="529"/>
      <c r="BG92" s="529"/>
      <c r="BH92" s="873"/>
      <c r="BI92" s="600"/>
      <c r="BJ92" s="201"/>
      <c r="BK92" s="201"/>
      <c r="BN92" s="7"/>
    </row>
    <row r="93" s="9" customFormat="1" ht="80.1" customHeight="1" spans="1:66">
      <c r="A93" s="23">
        <f>SUBTOTAL(3,C$9:C93)</f>
        <v>79</v>
      </c>
      <c r="B93" s="55" t="s">
        <v>1284</v>
      </c>
      <c r="C93" s="76" t="s">
        <v>79</v>
      </c>
      <c r="D93" s="55" t="s">
        <v>1285</v>
      </c>
      <c r="E93" s="77" t="s">
        <v>81</v>
      </c>
      <c r="F93" s="38">
        <v>9759</v>
      </c>
      <c r="G93" s="38"/>
      <c r="H93" s="81" t="s">
        <v>131</v>
      </c>
      <c r="I93" s="81"/>
      <c r="J93" s="81"/>
      <c r="K93" s="81"/>
      <c r="L93" s="38">
        <v>1000</v>
      </c>
      <c r="M93" s="38"/>
      <c r="N93" s="124" t="s">
        <v>284</v>
      </c>
      <c r="O93" s="133"/>
      <c r="P93" s="134"/>
      <c r="Q93" s="134"/>
      <c r="R93" s="134"/>
      <c r="S93" s="134"/>
      <c r="T93" s="134"/>
      <c r="U93" s="134"/>
      <c r="V93" s="134"/>
      <c r="W93" s="134"/>
      <c r="X93" s="90"/>
      <c r="Y93" s="90"/>
      <c r="Z93" s="132">
        <v>116.4</v>
      </c>
      <c r="AA93" s="132"/>
      <c r="AB93" s="132">
        <v>116</v>
      </c>
      <c r="AC93" s="132">
        <v>34.5</v>
      </c>
      <c r="AD93" s="132"/>
      <c r="AE93" s="132"/>
      <c r="AF93" s="132"/>
      <c r="AG93" s="132"/>
      <c r="AH93" s="132"/>
      <c r="AI93" s="132">
        <v>96</v>
      </c>
      <c r="AJ93" s="132"/>
      <c r="AK93" s="595"/>
      <c r="AL93" s="595"/>
      <c r="AM93" s="595"/>
      <c r="AN93" s="595"/>
      <c r="AO93" s="595"/>
      <c r="AP93" s="595"/>
      <c r="AQ93" s="90"/>
      <c r="AR93" s="112" t="s">
        <v>1286</v>
      </c>
      <c r="AS93" s="34" t="s">
        <v>1040</v>
      </c>
      <c r="AT93" s="34" t="s">
        <v>498</v>
      </c>
      <c r="AU93" s="55"/>
      <c r="AV93" s="600"/>
      <c r="AW93" s="840"/>
      <c r="AX93" s="840"/>
      <c r="AY93" s="840"/>
      <c r="AZ93" s="840"/>
      <c r="BA93" s="529"/>
      <c r="BB93" s="600"/>
      <c r="BC93" s="600"/>
      <c r="BD93" s="600"/>
      <c r="BE93" s="529"/>
      <c r="BF93" s="529"/>
      <c r="BG93" s="529"/>
      <c r="BH93" s="873"/>
      <c r="BI93" s="600"/>
      <c r="BJ93" s="201"/>
      <c r="BK93" s="201"/>
      <c r="BN93" s="7"/>
    </row>
    <row r="94" s="9" customFormat="1" ht="80.1" customHeight="1" spans="1:66">
      <c r="A94" s="23">
        <f>SUBTOTAL(3,C$9:C94)</f>
        <v>80</v>
      </c>
      <c r="B94" s="55" t="s">
        <v>1287</v>
      </c>
      <c r="C94" s="76" t="s">
        <v>562</v>
      </c>
      <c r="D94" s="55" t="s">
        <v>1288</v>
      </c>
      <c r="E94" s="693" t="s">
        <v>575</v>
      </c>
      <c r="F94" s="38">
        <v>35390.65</v>
      </c>
      <c r="G94" s="38">
        <v>3085</v>
      </c>
      <c r="H94" s="134"/>
      <c r="I94" s="67">
        <v>500</v>
      </c>
      <c r="J94" s="67">
        <v>1000</v>
      </c>
      <c r="K94" s="67">
        <v>2000</v>
      </c>
      <c r="L94" s="36">
        <v>3000</v>
      </c>
      <c r="M94" s="134"/>
      <c r="N94" s="123" t="s">
        <v>1289</v>
      </c>
      <c r="O94" s="133"/>
      <c r="P94" s="134"/>
      <c r="Q94" s="134"/>
      <c r="R94" s="134"/>
      <c r="S94" s="134"/>
      <c r="T94" s="134"/>
      <c r="U94" s="134"/>
      <c r="V94" s="134"/>
      <c r="W94" s="134"/>
      <c r="X94" s="90"/>
      <c r="Y94" s="90"/>
      <c r="Z94" s="132"/>
      <c r="AA94" s="132">
        <v>41.883</v>
      </c>
      <c r="AB94" s="132"/>
      <c r="AC94" s="132">
        <v>109.0185</v>
      </c>
      <c r="AD94" s="132">
        <v>109.0185</v>
      </c>
      <c r="AE94" s="132"/>
      <c r="AF94" s="132"/>
      <c r="AG94" s="132"/>
      <c r="AH94" s="132"/>
      <c r="AI94" s="132">
        <v>55</v>
      </c>
      <c r="AJ94" s="132"/>
      <c r="AK94" s="132">
        <v>55</v>
      </c>
      <c r="AL94" s="595"/>
      <c r="AM94" s="595"/>
      <c r="AN94" s="595"/>
      <c r="AO94" s="595"/>
      <c r="AP94" s="595"/>
      <c r="AQ94" s="90"/>
      <c r="AR94" s="880" t="s">
        <v>1290</v>
      </c>
      <c r="AS94" s="34" t="s">
        <v>1040</v>
      </c>
      <c r="AT94" s="34" t="s">
        <v>498</v>
      </c>
      <c r="AU94" s="34"/>
      <c r="AV94" s="600"/>
      <c r="AW94" s="840"/>
      <c r="AX94" s="840"/>
      <c r="AY94" s="840"/>
      <c r="AZ94" s="840"/>
      <c r="BA94" s="529"/>
      <c r="BB94" s="600"/>
      <c r="BC94" s="600"/>
      <c r="BD94" s="600"/>
      <c r="BE94" s="529"/>
      <c r="BF94" s="529"/>
      <c r="BG94" s="529"/>
      <c r="BH94" s="873"/>
      <c r="BI94" s="600"/>
      <c r="BJ94" s="201"/>
      <c r="BK94" s="201"/>
      <c r="BN94" s="7"/>
    </row>
    <row r="95" s="9" customFormat="1" ht="80.1" customHeight="1" spans="1:66">
      <c r="A95" s="23">
        <f>SUBTOTAL(3,C$9:C95)</f>
        <v>81</v>
      </c>
      <c r="B95" s="665" t="s">
        <v>1291</v>
      </c>
      <c r="C95" s="76" t="s">
        <v>562</v>
      </c>
      <c r="D95" s="55" t="s">
        <v>1292</v>
      </c>
      <c r="E95" s="693" t="s">
        <v>661</v>
      </c>
      <c r="F95" s="38">
        <v>32146.96</v>
      </c>
      <c r="G95" s="38">
        <v>1153</v>
      </c>
      <c r="H95" s="134"/>
      <c r="I95" s="67">
        <v>500</v>
      </c>
      <c r="J95" s="67">
        <v>1000</v>
      </c>
      <c r="K95" s="67">
        <v>2700</v>
      </c>
      <c r="L95" s="36">
        <v>4413</v>
      </c>
      <c r="M95" s="134"/>
      <c r="N95" s="123" t="s">
        <v>1293</v>
      </c>
      <c r="O95" s="133"/>
      <c r="P95" s="134"/>
      <c r="Q95" s="134"/>
      <c r="R95" s="134"/>
      <c r="S95" s="134"/>
      <c r="T95" s="134"/>
      <c r="U95" s="134"/>
      <c r="V95" s="134"/>
      <c r="W95" s="134"/>
      <c r="X95" s="90"/>
      <c r="Y95" s="90"/>
      <c r="Z95" s="132">
        <v>205.05</v>
      </c>
      <c r="AA95" s="132"/>
      <c r="AB95" s="132">
        <v>205.05</v>
      </c>
      <c r="AC95" s="132">
        <v>17.7585</v>
      </c>
      <c r="AD95" s="132">
        <v>17.7585</v>
      </c>
      <c r="AE95" s="132"/>
      <c r="AF95" s="132"/>
      <c r="AG95" s="132"/>
      <c r="AH95" s="132"/>
      <c r="AI95" s="132">
        <v>124</v>
      </c>
      <c r="AJ95" s="132"/>
      <c r="AK95" s="132">
        <v>124</v>
      </c>
      <c r="AL95" s="595"/>
      <c r="AM95" s="595"/>
      <c r="AN95" s="595"/>
      <c r="AO95" s="595"/>
      <c r="AP95" s="595"/>
      <c r="AQ95" s="90"/>
      <c r="AR95" s="90" t="s">
        <v>1045</v>
      </c>
      <c r="AS95" s="34" t="s">
        <v>1040</v>
      </c>
      <c r="AT95" s="34" t="s">
        <v>498</v>
      </c>
      <c r="AU95" s="34"/>
      <c r="AV95" s="600"/>
      <c r="AW95" s="840"/>
      <c r="AX95" s="840"/>
      <c r="AY95" s="840"/>
      <c r="AZ95" s="840"/>
      <c r="BA95" s="529"/>
      <c r="BB95" s="600"/>
      <c r="BC95" s="600"/>
      <c r="BD95" s="600"/>
      <c r="BE95" s="529"/>
      <c r="BF95" s="529"/>
      <c r="BG95" s="529"/>
      <c r="BH95" s="873"/>
      <c r="BI95" s="600"/>
      <c r="BJ95" s="201"/>
      <c r="BK95" s="201"/>
      <c r="BN95" s="7"/>
    </row>
    <row r="96" s="9" customFormat="1" ht="80.1" customHeight="1" spans="1:66">
      <c r="A96" s="23">
        <f>SUBTOTAL(3,C$9:C96)</f>
        <v>82</v>
      </c>
      <c r="B96" s="55" t="s">
        <v>1294</v>
      </c>
      <c r="C96" s="76" t="s">
        <v>562</v>
      </c>
      <c r="D96" s="55" t="s">
        <v>1295</v>
      </c>
      <c r="E96" s="693" t="s">
        <v>1049</v>
      </c>
      <c r="F96" s="38">
        <v>7440</v>
      </c>
      <c r="G96" s="38">
        <v>1880</v>
      </c>
      <c r="H96" s="134"/>
      <c r="I96" s="67">
        <v>100</v>
      </c>
      <c r="J96" s="67">
        <v>500</v>
      </c>
      <c r="K96" s="67">
        <v>900</v>
      </c>
      <c r="L96" s="36">
        <v>1000</v>
      </c>
      <c r="M96" s="134"/>
      <c r="N96" s="123" t="s">
        <v>1296</v>
      </c>
      <c r="O96" s="133"/>
      <c r="P96" s="134"/>
      <c r="Q96" s="134"/>
      <c r="R96" s="134"/>
      <c r="S96" s="134"/>
      <c r="T96" s="134"/>
      <c r="U96" s="134"/>
      <c r="V96" s="134"/>
      <c r="W96" s="134"/>
      <c r="X96" s="90"/>
      <c r="Y96" s="90"/>
      <c r="Z96" s="132">
        <v>145.46</v>
      </c>
      <c r="AA96" s="132"/>
      <c r="AB96" s="132">
        <v>145.46</v>
      </c>
      <c r="AC96" s="132">
        <v>27</v>
      </c>
      <c r="AD96" s="132"/>
      <c r="AE96" s="132">
        <v>27</v>
      </c>
      <c r="AF96" s="132"/>
      <c r="AG96" s="132"/>
      <c r="AH96" s="132"/>
      <c r="AI96" s="132">
        <v>27</v>
      </c>
      <c r="AJ96" s="132"/>
      <c r="AK96" s="132">
        <v>27</v>
      </c>
      <c r="AL96" s="595"/>
      <c r="AM96" s="595"/>
      <c r="AN96" s="595"/>
      <c r="AO96" s="595"/>
      <c r="AP96" s="595"/>
      <c r="AQ96" s="90"/>
      <c r="AR96" s="90" t="s">
        <v>1297</v>
      </c>
      <c r="AS96" s="34" t="s">
        <v>1040</v>
      </c>
      <c r="AT96" s="34" t="s">
        <v>498</v>
      </c>
      <c r="AU96" s="34"/>
      <c r="AV96" s="600"/>
      <c r="AW96" s="840"/>
      <c r="AX96" s="840"/>
      <c r="AY96" s="840"/>
      <c r="AZ96" s="840"/>
      <c r="BA96" s="529"/>
      <c r="BB96" s="600"/>
      <c r="BC96" s="600"/>
      <c r="BD96" s="600"/>
      <c r="BE96" s="529"/>
      <c r="BF96" s="529"/>
      <c r="BG96" s="529"/>
      <c r="BH96" s="873"/>
      <c r="BI96" s="600"/>
      <c r="BJ96" s="201"/>
      <c r="BK96" s="201"/>
      <c r="BN96" s="7"/>
    </row>
    <row r="97" s="9" customFormat="1" ht="80.1" customHeight="1" spans="1:66">
      <c r="A97" s="23">
        <f>SUBTOTAL(3,C$9:C97)</f>
        <v>83</v>
      </c>
      <c r="B97" s="55" t="s">
        <v>1298</v>
      </c>
      <c r="C97" s="76" t="s">
        <v>562</v>
      </c>
      <c r="D97" s="55" t="s">
        <v>1299</v>
      </c>
      <c r="E97" s="693" t="s">
        <v>1049</v>
      </c>
      <c r="F97" s="38">
        <v>7224</v>
      </c>
      <c r="G97" s="38">
        <v>1736</v>
      </c>
      <c r="H97" s="134"/>
      <c r="I97" s="67">
        <v>100</v>
      </c>
      <c r="J97" s="67">
        <v>500</v>
      </c>
      <c r="K97" s="67">
        <v>900</v>
      </c>
      <c r="L97" s="36">
        <v>1000</v>
      </c>
      <c r="M97" s="134"/>
      <c r="N97" s="123" t="s">
        <v>1296</v>
      </c>
      <c r="O97" s="133"/>
      <c r="P97" s="134"/>
      <c r="Q97" s="134"/>
      <c r="R97" s="134"/>
      <c r="S97" s="134"/>
      <c r="T97" s="134"/>
      <c r="U97" s="134"/>
      <c r="V97" s="134"/>
      <c r="W97" s="134"/>
      <c r="X97" s="90"/>
      <c r="Y97" s="90"/>
      <c r="Z97" s="132">
        <v>122.01</v>
      </c>
      <c r="AA97" s="132"/>
      <c r="AB97" s="132">
        <v>122.01</v>
      </c>
      <c r="AC97" s="132"/>
      <c r="AD97" s="132"/>
      <c r="AE97" s="132"/>
      <c r="AF97" s="132"/>
      <c r="AG97" s="132"/>
      <c r="AH97" s="132"/>
      <c r="AI97" s="132">
        <v>31</v>
      </c>
      <c r="AJ97" s="132"/>
      <c r="AK97" s="132">
        <v>31</v>
      </c>
      <c r="AL97" s="595"/>
      <c r="AM97" s="595"/>
      <c r="AN97" s="595"/>
      <c r="AO97" s="595"/>
      <c r="AP97" s="595"/>
      <c r="AQ97" s="90"/>
      <c r="AR97" s="90" t="s">
        <v>1297</v>
      </c>
      <c r="AS97" s="34" t="s">
        <v>1040</v>
      </c>
      <c r="AT97" s="34" t="s">
        <v>498</v>
      </c>
      <c r="AU97" s="34"/>
      <c r="AV97" s="600"/>
      <c r="AW97" s="840"/>
      <c r="AX97" s="840"/>
      <c r="AY97" s="840"/>
      <c r="AZ97" s="840"/>
      <c r="BA97" s="529"/>
      <c r="BB97" s="600"/>
      <c r="BC97" s="600"/>
      <c r="BD97" s="600"/>
      <c r="BE97" s="529"/>
      <c r="BF97" s="529"/>
      <c r="BG97" s="529"/>
      <c r="BH97" s="873"/>
      <c r="BI97" s="600"/>
      <c r="BJ97" s="201"/>
      <c r="BK97" s="201"/>
      <c r="BN97" s="7"/>
    </row>
    <row r="98" s="9" customFormat="1" ht="80.1" customHeight="1" spans="1:66">
      <c r="A98" s="23">
        <f>SUBTOTAL(3,C$9:C98)</f>
        <v>84</v>
      </c>
      <c r="B98" s="88" t="s">
        <v>1300</v>
      </c>
      <c r="C98" s="76" t="s">
        <v>810</v>
      </c>
      <c r="D98" s="55" t="s">
        <v>1301</v>
      </c>
      <c r="E98" s="35" t="s">
        <v>983</v>
      </c>
      <c r="F98" s="36">
        <v>2176</v>
      </c>
      <c r="G98" s="36">
        <v>286</v>
      </c>
      <c r="H98" s="134"/>
      <c r="I98" s="35">
        <v>50</v>
      </c>
      <c r="J98" s="35">
        <v>350</v>
      </c>
      <c r="K98" s="35">
        <v>1000</v>
      </c>
      <c r="L98" s="36">
        <v>1890</v>
      </c>
      <c r="M98" s="134"/>
      <c r="N98" s="34" t="s">
        <v>1302</v>
      </c>
      <c r="O98" s="133"/>
      <c r="P98" s="134"/>
      <c r="Q98" s="134"/>
      <c r="R98" s="134"/>
      <c r="S98" s="134"/>
      <c r="T98" s="134"/>
      <c r="U98" s="134"/>
      <c r="V98" s="134"/>
      <c r="W98" s="134"/>
      <c r="X98" s="90"/>
      <c r="Y98" s="90"/>
      <c r="Z98" s="132">
        <v>15</v>
      </c>
      <c r="AA98" s="132"/>
      <c r="AB98" s="132">
        <v>15</v>
      </c>
      <c r="AC98" s="132"/>
      <c r="AD98" s="132"/>
      <c r="AE98" s="132"/>
      <c r="AF98" s="132"/>
      <c r="AG98" s="132"/>
      <c r="AH98" s="132"/>
      <c r="AI98" s="132">
        <v>3</v>
      </c>
      <c r="AJ98" s="132"/>
      <c r="AK98" s="132">
        <v>3</v>
      </c>
      <c r="AL98" s="595"/>
      <c r="AM98" s="595"/>
      <c r="AN98" s="595"/>
      <c r="AO98" s="595"/>
      <c r="AP98" s="595"/>
      <c r="AQ98" s="90"/>
      <c r="AR98" s="90" t="s">
        <v>1303</v>
      </c>
      <c r="AS98" s="34" t="s">
        <v>1040</v>
      </c>
      <c r="AT98" s="34" t="s">
        <v>498</v>
      </c>
      <c r="AU98" s="91"/>
      <c r="AV98" s="600"/>
      <c r="AW98" s="840"/>
      <c r="AX98" s="840"/>
      <c r="AY98" s="840"/>
      <c r="AZ98" s="840"/>
      <c r="BA98" s="529"/>
      <c r="BB98" s="600"/>
      <c r="BC98" s="600"/>
      <c r="BD98" s="600"/>
      <c r="BE98" s="529"/>
      <c r="BF98" s="529"/>
      <c r="BG98" s="529"/>
      <c r="BH98" s="873"/>
      <c r="BI98" s="600"/>
      <c r="BJ98" s="201"/>
      <c r="BK98" s="201"/>
      <c r="BN98" s="7"/>
    </row>
    <row r="99" s="9" customFormat="1" ht="80.1" customHeight="1" spans="1:66">
      <c r="A99" s="23">
        <f>SUBTOTAL(3,C$9:C99)</f>
        <v>85</v>
      </c>
      <c r="B99" s="88" t="s">
        <v>1304</v>
      </c>
      <c r="C99" s="35" t="s">
        <v>810</v>
      </c>
      <c r="D99" s="34" t="s">
        <v>1305</v>
      </c>
      <c r="E99" s="35" t="s">
        <v>827</v>
      </c>
      <c r="F99" s="36">
        <v>2855</v>
      </c>
      <c r="G99" s="36">
        <v>1241</v>
      </c>
      <c r="H99" s="81" t="s">
        <v>131</v>
      </c>
      <c r="I99" s="37">
        <v>200</v>
      </c>
      <c r="J99" s="37">
        <v>400</v>
      </c>
      <c r="K99" s="37">
        <v>600</v>
      </c>
      <c r="L99" s="36">
        <v>1614</v>
      </c>
      <c r="M99" s="134"/>
      <c r="N99" s="123" t="s">
        <v>971</v>
      </c>
      <c r="O99" s="133"/>
      <c r="P99" s="134"/>
      <c r="Q99" s="134"/>
      <c r="R99" s="134"/>
      <c r="S99" s="134"/>
      <c r="T99" s="134"/>
      <c r="U99" s="134"/>
      <c r="V99" s="134"/>
      <c r="W99" s="134"/>
      <c r="X99" s="90"/>
      <c r="Y99" s="90"/>
      <c r="Z99" s="132">
        <v>195</v>
      </c>
      <c r="AA99" s="132">
        <v>100</v>
      </c>
      <c r="AB99" s="132">
        <v>95</v>
      </c>
      <c r="AC99" s="132"/>
      <c r="AD99" s="132"/>
      <c r="AE99" s="132"/>
      <c r="AF99" s="132"/>
      <c r="AG99" s="132"/>
      <c r="AH99" s="132"/>
      <c r="AI99" s="132"/>
      <c r="AJ99" s="132"/>
      <c r="AK99" s="132"/>
      <c r="AL99" s="595"/>
      <c r="AM99" s="595"/>
      <c r="AN99" s="595"/>
      <c r="AO99" s="595"/>
      <c r="AP99" s="595"/>
      <c r="AQ99" s="90"/>
      <c r="AR99" s="112" t="s">
        <v>1306</v>
      </c>
      <c r="AS99" s="34" t="s">
        <v>1040</v>
      </c>
      <c r="AT99" s="34" t="s">
        <v>498</v>
      </c>
      <c r="AU99" s="91"/>
      <c r="AV99" s="600"/>
      <c r="AW99" s="840"/>
      <c r="AX99" s="840"/>
      <c r="AY99" s="840"/>
      <c r="AZ99" s="840"/>
      <c r="BA99" s="529"/>
      <c r="BB99" s="600"/>
      <c r="BC99" s="600"/>
      <c r="BD99" s="600"/>
      <c r="BE99" s="529"/>
      <c r="BF99" s="529"/>
      <c r="BG99" s="529"/>
      <c r="BH99" s="873"/>
      <c r="BI99" s="600"/>
      <c r="BJ99" s="201"/>
      <c r="BK99" s="201"/>
      <c r="BN99" s="7"/>
    </row>
    <row r="100" s="9" customFormat="1" ht="80.1" customHeight="1" spans="1:66">
      <c r="A100" s="23">
        <f>SUBTOTAL(3,C$9:C100)</f>
        <v>86</v>
      </c>
      <c r="B100" s="55" t="s">
        <v>1307</v>
      </c>
      <c r="C100" s="35" t="s">
        <v>79</v>
      </c>
      <c r="D100" s="55" t="s">
        <v>1308</v>
      </c>
      <c r="E100" s="35" t="s">
        <v>112</v>
      </c>
      <c r="F100" s="35">
        <v>16000</v>
      </c>
      <c r="G100" s="35"/>
      <c r="H100" s="81" t="s">
        <v>82</v>
      </c>
      <c r="I100" s="37"/>
      <c r="J100" s="37"/>
      <c r="K100" s="37">
        <v>300</v>
      </c>
      <c r="L100" s="36">
        <v>3000</v>
      </c>
      <c r="M100" s="36"/>
      <c r="N100" s="34" t="s">
        <v>284</v>
      </c>
      <c r="O100" s="133"/>
      <c r="P100" s="134"/>
      <c r="Q100" s="134"/>
      <c r="R100" s="134"/>
      <c r="S100" s="134"/>
      <c r="T100" s="134"/>
      <c r="U100" s="134"/>
      <c r="V100" s="134"/>
      <c r="W100" s="134"/>
      <c r="X100" s="90"/>
      <c r="Y100" s="90"/>
      <c r="Z100" s="132"/>
      <c r="AA100" s="132"/>
      <c r="AB100" s="132"/>
      <c r="AC100" s="132"/>
      <c r="AD100" s="132"/>
      <c r="AE100" s="132"/>
      <c r="AF100" s="132"/>
      <c r="AG100" s="132"/>
      <c r="AH100" s="132"/>
      <c r="AI100" s="132">
        <v>245</v>
      </c>
      <c r="AJ100" s="132"/>
      <c r="AK100" s="595"/>
      <c r="AL100" s="595"/>
      <c r="AM100" s="595"/>
      <c r="AN100" s="595"/>
      <c r="AO100" s="595"/>
      <c r="AP100" s="595"/>
      <c r="AQ100" s="90"/>
      <c r="AR100" s="66" t="s">
        <v>1170</v>
      </c>
      <c r="AS100" s="34" t="s">
        <v>1171</v>
      </c>
      <c r="AT100" s="879" t="s">
        <v>269</v>
      </c>
      <c r="AU100" s="93"/>
      <c r="AV100" s="600"/>
      <c r="AW100" s="840"/>
      <c r="AX100" s="840"/>
      <c r="AY100" s="840"/>
      <c r="AZ100" s="840"/>
      <c r="BA100" s="529"/>
      <c r="BB100" s="600"/>
      <c r="BC100" s="600"/>
      <c r="BD100" s="600"/>
      <c r="BE100" s="529"/>
      <c r="BF100" s="529"/>
      <c r="BG100" s="529"/>
      <c r="BH100" s="873"/>
      <c r="BI100" s="600"/>
      <c r="BJ100" s="201"/>
      <c r="BK100" s="201"/>
      <c r="BN100" s="7"/>
    </row>
    <row r="101" s="9" customFormat="1" ht="80.1" customHeight="1" spans="1:66">
      <c r="A101" s="23">
        <f>SUBTOTAL(3,C$9:C101)</f>
        <v>87</v>
      </c>
      <c r="B101" s="55" t="s">
        <v>1309</v>
      </c>
      <c r="C101" s="35" t="s">
        <v>79</v>
      </c>
      <c r="D101" s="55" t="s">
        <v>1310</v>
      </c>
      <c r="E101" s="35" t="s">
        <v>81</v>
      </c>
      <c r="F101" s="35">
        <v>9704</v>
      </c>
      <c r="G101" s="35"/>
      <c r="H101" s="81" t="s">
        <v>122</v>
      </c>
      <c r="I101" s="37"/>
      <c r="J101" s="37">
        <v>100</v>
      </c>
      <c r="K101" s="37">
        <v>1100</v>
      </c>
      <c r="L101" s="36">
        <v>2000</v>
      </c>
      <c r="M101" s="36"/>
      <c r="N101" s="112" t="s">
        <v>1221</v>
      </c>
      <c r="O101" s="133"/>
      <c r="P101" s="134"/>
      <c r="Q101" s="134"/>
      <c r="R101" s="134"/>
      <c r="S101" s="134"/>
      <c r="T101" s="134"/>
      <c r="U101" s="134"/>
      <c r="V101" s="134"/>
      <c r="W101" s="134"/>
      <c r="X101" s="90"/>
      <c r="Y101" s="90"/>
      <c r="Z101" s="132">
        <v>61.35</v>
      </c>
      <c r="AA101" s="132">
        <v>61.35</v>
      </c>
      <c r="AB101" s="132"/>
      <c r="AC101" s="132">
        <v>4.98</v>
      </c>
      <c r="AD101" s="132">
        <v>4.98</v>
      </c>
      <c r="AE101" s="132"/>
      <c r="AF101" s="132"/>
      <c r="AG101" s="132"/>
      <c r="AH101" s="132"/>
      <c r="AI101" s="132">
        <v>60</v>
      </c>
      <c r="AJ101" s="132">
        <v>57</v>
      </c>
      <c r="AK101" s="595"/>
      <c r="AL101" s="595"/>
      <c r="AM101" s="595"/>
      <c r="AN101" s="595"/>
      <c r="AO101" s="595"/>
      <c r="AP101" s="595"/>
      <c r="AQ101" s="90"/>
      <c r="AR101" s="112" t="s">
        <v>117</v>
      </c>
      <c r="AS101" s="34" t="s">
        <v>1311</v>
      </c>
      <c r="AT101" s="879" t="s">
        <v>269</v>
      </c>
      <c r="AU101" s="93"/>
      <c r="AV101" s="600"/>
      <c r="AW101" s="840"/>
      <c r="AX101" s="840"/>
      <c r="AY101" s="840"/>
      <c r="AZ101" s="840"/>
      <c r="BA101" s="529"/>
      <c r="BB101" s="600"/>
      <c r="BC101" s="600"/>
      <c r="BD101" s="600"/>
      <c r="BE101" s="529"/>
      <c r="BF101" s="529"/>
      <c r="BG101" s="529"/>
      <c r="BH101" s="873"/>
      <c r="BI101" s="600"/>
      <c r="BJ101" s="201"/>
      <c r="BK101" s="201"/>
      <c r="BN101" s="7"/>
    </row>
    <row r="102" s="9" customFormat="1" ht="80.1" customHeight="1" spans="1:66">
      <c r="A102" s="23">
        <f>SUBTOTAL(3,C$9:C102)</f>
        <v>88</v>
      </c>
      <c r="B102" s="55" t="s">
        <v>1312</v>
      </c>
      <c r="C102" s="855" t="s">
        <v>79</v>
      </c>
      <c r="D102" s="55" t="s">
        <v>1313</v>
      </c>
      <c r="E102" s="35" t="s">
        <v>112</v>
      </c>
      <c r="F102" s="156">
        <v>7667</v>
      </c>
      <c r="G102" s="156"/>
      <c r="H102" s="67" t="s">
        <v>195</v>
      </c>
      <c r="I102" s="67">
        <v>100</v>
      </c>
      <c r="J102" s="67">
        <v>1500</v>
      </c>
      <c r="K102" s="67">
        <v>3000</v>
      </c>
      <c r="L102" s="257">
        <v>4000</v>
      </c>
      <c r="M102" s="257"/>
      <c r="N102" s="131" t="s">
        <v>1314</v>
      </c>
      <c r="O102" s="133"/>
      <c r="P102" s="134"/>
      <c r="Q102" s="134"/>
      <c r="R102" s="134"/>
      <c r="S102" s="134"/>
      <c r="T102" s="134"/>
      <c r="U102" s="134"/>
      <c r="V102" s="134"/>
      <c r="W102" s="134"/>
      <c r="X102" s="90"/>
      <c r="Y102" s="90"/>
      <c r="Z102" s="132"/>
      <c r="AA102" s="132"/>
      <c r="AB102" s="132"/>
      <c r="AC102" s="132"/>
      <c r="AD102" s="132"/>
      <c r="AE102" s="132"/>
      <c r="AF102" s="132"/>
      <c r="AG102" s="132"/>
      <c r="AH102" s="132"/>
      <c r="AI102" s="132">
        <v>245</v>
      </c>
      <c r="AJ102" s="132"/>
      <c r="AK102" s="595"/>
      <c r="AL102" s="595"/>
      <c r="AM102" s="595"/>
      <c r="AN102" s="595"/>
      <c r="AO102" s="595"/>
      <c r="AP102" s="595"/>
      <c r="AQ102" s="90"/>
      <c r="AR102" s="112" t="s">
        <v>117</v>
      </c>
      <c r="AS102" s="66" t="s">
        <v>1311</v>
      </c>
      <c r="AT102" s="34" t="s">
        <v>269</v>
      </c>
      <c r="AU102" s="93"/>
      <c r="AV102" s="600"/>
      <c r="AW102" s="840"/>
      <c r="AX102" s="840"/>
      <c r="AY102" s="840"/>
      <c r="AZ102" s="840"/>
      <c r="BA102" s="529"/>
      <c r="BB102" s="600"/>
      <c r="BC102" s="600"/>
      <c r="BD102" s="600"/>
      <c r="BE102" s="529"/>
      <c r="BF102" s="529"/>
      <c r="BG102" s="529"/>
      <c r="BH102" s="873"/>
      <c r="BI102" s="600"/>
      <c r="BJ102" s="201"/>
      <c r="BK102" s="201"/>
      <c r="BN102" s="7"/>
    </row>
    <row r="103" s="9" customFormat="1" ht="80.1" customHeight="1" spans="1:66">
      <c r="A103" s="23">
        <f>SUBTOTAL(3,C$9:C103)</f>
        <v>89</v>
      </c>
      <c r="B103" s="55" t="s">
        <v>1315</v>
      </c>
      <c r="C103" s="35" t="s">
        <v>79</v>
      </c>
      <c r="D103" s="55" t="s">
        <v>1316</v>
      </c>
      <c r="E103" s="35" t="s">
        <v>112</v>
      </c>
      <c r="F103" s="36">
        <v>6500</v>
      </c>
      <c r="G103" s="36"/>
      <c r="H103" s="83" t="s">
        <v>82</v>
      </c>
      <c r="I103" s="578"/>
      <c r="J103" s="578"/>
      <c r="K103" s="578">
        <v>900</v>
      </c>
      <c r="L103" s="36">
        <v>2000</v>
      </c>
      <c r="M103" s="36"/>
      <c r="N103" s="34" t="s">
        <v>284</v>
      </c>
      <c r="O103" s="133"/>
      <c r="P103" s="134"/>
      <c r="Q103" s="134"/>
      <c r="R103" s="134"/>
      <c r="S103" s="134"/>
      <c r="T103" s="134"/>
      <c r="U103" s="134"/>
      <c r="V103" s="134"/>
      <c r="W103" s="134"/>
      <c r="X103" s="90"/>
      <c r="Y103" s="90"/>
      <c r="Z103" s="132"/>
      <c r="AA103" s="132"/>
      <c r="AB103" s="132"/>
      <c r="AC103" s="132"/>
      <c r="AD103" s="132"/>
      <c r="AE103" s="132"/>
      <c r="AF103" s="132"/>
      <c r="AG103" s="132"/>
      <c r="AH103" s="132"/>
      <c r="AI103" s="132">
        <v>121</v>
      </c>
      <c r="AJ103" s="132">
        <v>111</v>
      </c>
      <c r="AK103" s="595"/>
      <c r="AL103" s="595"/>
      <c r="AM103" s="595"/>
      <c r="AN103" s="595"/>
      <c r="AO103" s="595"/>
      <c r="AP103" s="595"/>
      <c r="AQ103" s="90"/>
      <c r="AR103" s="66" t="s">
        <v>1170</v>
      </c>
      <c r="AS103" s="34" t="s">
        <v>1311</v>
      </c>
      <c r="AT103" s="879" t="s">
        <v>269</v>
      </c>
      <c r="AU103" s="93"/>
      <c r="AV103" s="600"/>
      <c r="AW103" s="840"/>
      <c r="AX103" s="840"/>
      <c r="AY103" s="840"/>
      <c r="AZ103" s="840"/>
      <c r="BA103" s="529"/>
      <c r="BB103" s="600"/>
      <c r="BC103" s="600"/>
      <c r="BD103" s="600"/>
      <c r="BE103" s="529"/>
      <c r="BF103" s="529"/>
      <c r="BG103" s="529"/>
      <c r="BH103" s="873"/>
      <c r="BI103" s="600"/>
      <c r="BJ103" s="201"/>
      <c r="BK103" s="201"/>
      <c r="BN103" s="7"/>
    </row>
    <row r="104" s="9" customFormat="1" ht="80.1" customHeight="1" spans="1:66">
      <c r="A104" s="23">
        <f>SUBTOTAL(3,C$9:C104)</f>
        <v>90</v>
      </c>
      <c r="B104" s="55" t="s">
        <v>1317</v>
      </c>
      <c r="C104" s="35" t="s">
        <v>79</v>
      </c>
      <c r="D104" s="55" t="s">
        <v>1318</v>
      </c>
      <c r="E104" s="35">
        <v>2019</v>
      </c>
      <c r="F104" s="35">
        <v>4000</v>
      </c>
      <c r="G104" s="35"/>
      <c r="H104" s="67" t="s">
        <v>177</v>
      </c>
      <c r="I104" s="578"/>
      <c r="J104" s="67">
        <v>500</v>
      </c>
      <c r="K104" s="67">
        <v>2500</v>
      </c>
      <c r="L104" s="257">
        <v>4000</v>
      </c>
      <c r="M104" s="257"/>
      <c r="N104" s="131" t="s">
        <v>1319</v>
      </c>
      <c r="O104" s="133"/>
      <c r="P104" s="134"/>
      <c r="Q104" s="134"/>
      <c r="R104" s="134"/>
      <c r="S104" s="134"/>
      <c r="T104" s="134"/>
      <c r="U104" s="134"/>
      <c r="V104" s="134"/>
      <c r="W104" s="134"/>
      <c r="X104" s="90"/>
      <c r="Y104" s="90"/>
      <c r="Z104" s="132"/>
      <c r="AA104" s="132"/>
      <c r="AB104" s="132"/>
      <c r="AC104" s="132"/>
      <c r="AD104" s="132"/>
      <c r="AE104" s="132"/>
      <c r="AF104" s="132"/>
      <c r="AG104" s="132"/>
      <c r="AH104" s="132"/>
      <c r="AI104" s="132">
        <v>121</v>
      </c>
      <c r="AJ104" s="132">
        <v>111</v>
      </c>
      <c r="AK104" s="595"/>
      <c r="AL104" s="595"/>
      <c r="AM104" s="595"/>
      <c r="AN104" s="595"/>
      <c r="AO104" s="595"/>
      <c r="AP104" s="595"/>
      <c r="AQ104" s="90"/>
      <c r="AR104" s="112" t="s">
        <v>1320</v>
      </c>
      <c r="AS104" s="34" t="s">
        <v>1321</v>
      </c>
      <c r="AT104" s="879" t="s">
        <v>269</v>
      </c>
      <c r="AU104" s="93"/>
      <c r="AV104" s="600"/>
      <c r="AW104" s="840"/>
      <c r="AX104" s="840"/>
      <c r="AY104" s="840"/>
      <c r="AZ104" s="840"/>
      <c r="BA104" s="529"/>
      <c r="BB104" s="600"/>
      <c r="BC104" s="600"/>
      <c r="BD104" s="600"/>
      <c r="BE104" s="529"/>
      <c r="BF104" s="529"/>
      <c r="BG104" s="529"/>
      <c r="BH104" s="873"/>
      <c r="BI104" s="600"/>
      <c r="BJ104" s="201"/>
      <c r="BK104" s="201"/>
      <c r="BN104" s="7"/>
    </row>
    <row r="105" s="9" customFormat="1" ht="80.1" customHeight="1" spans="1:66">
      <c r="A105" s="23">
        <f>SUBTOTAL(3,C$9:C105)</f>
        <v>91</v>
      </c>
      <c r="B105" s="55" t="s">
        <v>1322</v>
      </c>
      <c r="C105" s="35" t="s">
        <v>79</v>
      </c>
      <c r="D105" s="55" t="s">
        <v>1323</v>
      </c>
      <c r="E105" s="35" t="s">
        <v>1324</v>
      </c>
      <c r="F105" s="35">
        <v>3988</v>
      </c>
      <c r="G105" s="35"/>
      <c r="H105" s="67" t="s">
        <v>195</v>
      </c>
      <c r="I105" s="67">
        <v>200</v>
      </c>
      <c r="J105" s="67">
        <v>800</v>
      </c>
      <c r="K105" s="67">
        <v>1500</v>
      </c>
      <c r="L105" s="257">
        <v>2000</v>
      </c>
      <c r="M105" s="257"/>
      <c r="N105" s="131" t="s">
        <v>1325</v>
      </c>
      <c r="O105" s="133"/>
      <c r="P105" s="134"/>
      <c r="Q105" s="134"/>
      <c r="R105" s="134"/>
      <c r="S105" s="134"/>
      <c r="T105" s="134"/>
      <c r="U105" s="134"/>
      <c r="V105" s="134"/>
      <c r="W105" s="134"/>
      <c r="X105" s="90"/>
      <c r="Y105" s="90"/>
      <c r="Z105" s="132"/>
      <c r="AA105" s="132"/>
      <c r="AB105" s="132"/>
      <c r="AC105" s="132"/>
      <c r="AD105" s="132"/>
      <c r="AE105" s="132"/>
      <c r="AF105" s="132"/>
      <c r="AG105" s="132"/>
      <c r="AH105" s="132"/>
      <c r="AI105" s="132">
        <v>121</v>
      </c>
      <c r="AJ105" s="132">
        <v>111</v>
      </c>
      <c r="AK105" s="595"/>
      <c r="AL105" s="595"/>
      <c r="AM105" s="595"/>
      <c r="AN105" s="595"/>
      <c r="AO105" s="595"/>
      <c r="AP105" s="595"/>
      <c r="AQ105" s="90"/>
      <c r="AR105" s="112" t="s">
        <v>1320</v>
      </c>
      <c r="AS105" s="34" t="s">
        <v>1311</v>
      </c>
      <c r="AT105" s="879" t="s">
        <v>269</v>
      </c>
      <c r="AU105" s="93"/>
      <c r="AV105" s="600"/>
      <c r="AW105" s="840"/>
      <c r="AX105" s="840"/>
      <c r="AY105" s="840"/>
      <c r="AZ105" s="840"/>
      <c r="BA105" s="529"/>
      <c r="BB105" s="600"/>
      <c r="BC105" s="600"/>
      <c r="BD105" s="600"/>
      <c r="BE105" s="529"/>
      <c r="BF105" s="529"/>
      <c r="BG105" s="529"/>
      <c r="BH105" s="873"/>
      <c r="BI105" s="600"/>
      <c r="BJ105" s="201"/>
      <c r="BK105" s="201"/>
      <c r="BN105" s="7"/>
    </row>
    <row r="106" s="9" customFormat="1" ht="80.1" customHeight="1" spans="1:66">
      <c r="A106" s="23">
        <f>SUBTOTAL(3,C$9:C106)</f>
        <v>92</v>
      </c>
      <c r="B106" s="55" t="s">
        <v>1326</v>
      </c>
      <c r="C106" s="35" t="s">
        <v>79</v>
      </c>
      <c r="D106" s="55" t="s">
        <v>1327</v>
      </c>
      <c r="E106" s="35">
        <v>2019</v>
      </c>
      <c r="F106" s="35">
        <v>2480</v>
      </c>
      <c r="G106" s="35"/>
      <c r="H106" s="67" t="s">
        <v>195</v>
      </c>
      <c r="I106" s="67">
        <v>150</v>
      </c>
      <c r="J106" s="67">
        <v>1100</v>
      </c>
      <c r="K106" s="67">
        <v>1800</v>
      </c>
      <c r="L106" s="257">
        <v>2480</v>
      </c>
      <c r="M106" s="257"/>
      <c r="N106" s="131" t="s">
        <v>1319</v>
      </c>
      <c r="O106" s="133"/>
      <c r="P106" s="134"/>
      <c r="Q106" s="134"/>
      <c r="R106" s="134"/>
      <c r="S106" s="134"/>
      <c r="T106" s="134"/>
      <c r="U106" s="134"/>
      <c r="V106" s="134"/>
      <c r="W106" s="134"/>
      <c r="X106" s="90"/>
      <c r="Y106" s="90"/>
      <c r="Z106" s="132"/>
      <c r="AA106" s="132"/>
      <c r="AB106" s="132"/>
      <c r="AC106" s="132"/>
      <c r="AD106" s="132"/>
      <c r="AE106" s="132"/>
      <c r="AF106" s="132"/>
      <c r="AG106" s="132"/>
      <c r="AH106" s="132"/>
      <c r="AI106" s="132">
        <v>121</v>
      </c>
      <c r="AJ106" s="132">
        <v>111</v>
      </c>
      <c r="AK106" s="595"/>
      <c r="AL106" s="595"/>
      <c r="AM106" s="595"/>
      <c r="AN106" s="595"/>
      <c r="AO106" s="595"/>
      <c r="AP106" s="595"/>
      <c r="AQ106" s="90"/>
      <c r="AR106" s="112" t="s">
        <v>1320</v>
      </c>
      <c r="AS106" s="34" t="s">
        <v>1311</v>
      </c>
      <c r="AT106" s="879" t="s">
        <v>269</v>
      </c>
      <c r="AU106" s="93" t="s">
        <v>1328</v>
      </c>
      <c r="AV106" s="600"/>
      <c r="AW106" s="840"/>
      <c r="AX106" s="840"/>
      <c r="AY106" s="840"/>
      <c r="AZ106" s="840"/>
      <c r="BA106" s="529"/>
      <c r="BB106" s="600"/>
      <c r="BC106" s="600"/>
      <c r="BD106" s="600"/>
      <c r="BE106" s="529"/>
      <c r="BF106" s="529"/>
      <c r="BG106" s="529"/>
      <c r="BH106" s="873"/>
      <c r="BI106" s="600"/>
      <c r="BJ106" s="201"/>
      <c r="BK106" s="201"/>
      <c r="BN106" s="7"/>
    </row>
    <row r="107" s="9" customFormat="1" ht="80.1" customHeight="1" spans="1:66">
      <c r="A107" s="23">
        <f>SUBTOTAL(3,C$9:C107)</f>
        <v>93</v>
      </c>
      <c r="B107" s="55" t="s">
        <v>1329</v>
      </c>
      <c r="C107" s="35" t="s">
        <v>79</v>
      </c>
      <c r="D107" s="55" t="s">
        <v>1330</v>
      </c>
      <c r="E107" s="35">
        <v>2019</v>
      </c>
      <c r="F107" s="35">
        <v>2300</v>
      </c>
      <c r="G107" s="35"/>
      <c r="H107" s="67" t="s">
        <v>195</v>
      </c>
      <c r="I107" s="67">
        <v>200</v>
      </c>
      <c r="J107" s="67">
        <v>1200</v>
      </c>
      <c r="K107" s="67">
        <v>1800</v>
      </c>
      <c r="L107" s="257">
        <v>2300</v>
      </c>
      <c r="M107" s="257"/>
      <c r="N107" s="131" t="s">
        <v>1319</v>
      </c>
      <c r="O107" s="133"/>
      <c r="P107" s="134"/>
      <c r="Q107" s="134"/>
      <c r="R107" s="134"/>
      <c r="S107" s="134"/>
      <c r="T107" s="134"/>
      <c r="U107" s="134"/>
      <c r="V107" s="134"/>
      <c r="W107" s="134"/>
      <c r="X107" s="90"/>
      <c r="Y107" s="90"/>
      <c r="Z107" s="132"/>
      <c r="AA107" s="132"/>
      <c r="AB107" s="132"/>
      <c r="AC107" s="132"/>
      <c r="AD107" s="132"/>
      <c r="AE107" s="132"/>
      <c r="AF107" s="132"/>
      <c r="AG107" s="132"/>
      <c r="AH107" s="132"/>
      <c r="AI107" s="132">
        <v>121</v>
      </c>
      <c r="AJ107" s="132">
        <v>111</v>
      </c>
      <c r="AK107" s="595"/>
      <c r="AL107" s="595"/>
      <c r="AM107" s="595"/>
      <c r="AN107" s="595"/>
      <c r="AO107" s="595"/>
      <c r="AP107" s="595"/>
      <c r="AQ107" s="90"/>
      <c r="AR107" s="112" t="s">
        <v>1320</v>
      </c>
      <c r="AS107" s="34" t="s">
        <v>1311</v>
      </c>
      <c r="AT107" s="879" t="s">
        <v>269</v>
      </c>
      <c r="AU107" s="93" t="s">
        <v>1328</v>
      </c>
      <c r="AV107" s="600"/>
      <c r="AW107" s="840"/>
      <c r="AX107" s="840"/>
      <c r="AY107" s="840"/>
      <c r="AZ107" s="840"/>
      <c r="BA107" s="529"/>
      <c r="BB107" s="600"/>
      <c r="BC107" s="600"/>
      <c r="BD107" s="600"/>
      <c r="BE107" s="529"/>
      <c r="BF107" s="529"/>
      <c r="BG107" s="529"/>
      <c r="BH107" s="873"/>
      <c r="BI107" s="600"/>
      <c r="BJ107" s="201"/>
      <c r="BK107" s="201"/>
      <c r="BN107" s="7"/>
    </row>
    <row r="108" s="9" customFormat="1" ht="80.1" customHeight="1" spans="1:66">
      <c r="A108" s="23">
        <f>SUBTOTAL(3,C$9:C108)</f>
        <v>94</v>
      </c>
      <c r="B108" s="55" t="s">
        <v>1331</v>
      </c>
      <c r="C108" s="35" t="s">
        <v>79</v>
      </c>
      <c r="D108" s="55" t="s">
        <v>1332</v>
      </c>
      <c r="E108" s="35">
        <v>2019</v>
      </c>
      <c r="F108" s="876">
        <v>1289</v>
      </c>
      <c r="G108" s="876"/>
      <c r="H108" s="67" t="s">
        <v>195</v>
      </c>
      <c r="I108" s="67">
        <v>120</v>
      </c>
      <c r="J108" s="67">
        <v>700</v>
      </c>
      <c r="K108" s="67">
        <v>1000</v>
      </c>
      <c r="L108" s="257">
        <v>1289</v>
      </c>
      <c r="M108" s="257"/>
      <c r="N108" s="131" t="s">
        <v>1012</v>
      </c>
      <c r="O108" s="133"/>
      <c r="P108" s="134"/>
      <c r="Q108" s="134"/>
      <c r="R108" s="134"/>
      <c r="S108" s="134"/>
      <c r="T108" s="134"/>
      <c r="U108" s="134"/>
      <c r="V108" s="134"/>
      <c r="W108" s="134"/>
      <c r="X108" s="90"/>
      <c r="Y108" s="90"/>
      <c r="Z108" s="132"/>
      <c r="AA108" s="132"/>
      <c r="AB108" s="132"/>
      <c r="AC108" s="132"/>
      <c r="AD108" s="132"/>
      <c r="AE108" s="132"/>
      <c r="AF108" s="132"/>
      <c r="AG108" s="132"/>
      <c r="AH108" s="132"/>
      <c r="AI108" s="132">
        <v>121</v>
      </c>
      <c r="AJ108" s="132">
        <v>111</v>
      </c>
      <c r="AK108" s="595"/>
      <c r="AL108" s="595"/>
      <c r="AM108" s="595"/>
      <c r="AN108" s="595"/>
      <c r="AO108" s="595"/>
      <c r="AP108" s="595"/>
      <c r="AQ108" s="90"/>
      <c r="AR108" s="112" t="s">
        <v>117</v>
      </c>
      <c r="AS108" s="34" t="s">
        <v>1311</v>
      </c>
      <c r="AT108" s="879" t="s">
        <v>269</v>
      </c>
      <c r="AU108" s="93"/>
      <c r="AV108" s="600"/>
      <c r="AW108" s="840"/>
      <c r="AX108" s="840"/>
      <c r="AY108" s="840"/>
      <c r="AZ108" s="840"/>
      <c r="BA108" s="529"/>
      <c r="BB108" s="600"/>
      <c r="BC108" s="600"/>
      <c r="BD108" s="600"/>
      <c r="BE108" s="529"/>
      <c r="BF108" s="529"/>
      <c r="BG108" s="529"/>
      <c r="BH108" s="873"/>
      <c r="BI108" s="600"/>
      <c r="BJ108" s="201"/>
      <c r="BK108" s="201"/>
      <c r="BN108" s="7"/>
    </row>
    <row r="109" s="9" customFormat="1" ht="80.1" customHeight="1" spans="1:66">
      <c r="A109" s="23">
        <f>SUBTOTAL(3,C$9:C109)</f>
        <v>95</v>
      </c>
      <c r="B109" s="55" t="s">
        <v>1333</v>
      </c>
      <c r="C109" s="35" t="s">
        <v>562</v>
      </c>
      <c r="D109" s="695" t="s">
        <v>1334</v>
      </c>
      <c r="E109" s="35" t="s">
        <v>575</v>
      </c>
      <c r="F109" s="35">
        <v>18000</v>
      </c>
      <c r="G109" s="36">
        <v>3000</v>
      </c>
      <c r="H109" s="134"/>
      <c r="I109" s="67">
        <v>300</v>
      </c>
      <c r="J109" s="67">
        <v>800</v>
      </c>
      <c r="K109" s="67">
        <v>1800</v>
      </c>
      <c r="L109" s="36">
        <v>2000</v>
      </c>
      <c r="M109" s="134"/>
      <c r="N109" s="123" t="s">
        <v>1335</v>
      </c>
      <c r="O109" s="133"/>
      <c r="P109" s="134"/>
      <c r="Q109" s="134"/>
      <c r="R109" s="134"/>
      <c r="S109" s="134"/>
      <c r="T109" s="134"/>
      <c r="U109" s="134"/>
      <c r="V109" s="134"/>
      <c r="W109" s="134"/>
      <c r="X109" s="90"/>
      <c r="Y109" s="90"/>
      <c r="Z109" s="878"/>
      <c r="AA109" s="878"/>
      <c r="AB109" s="878"/>
      <c r="AC109" s="878"/>
      <c r="AD109" s="878"/>
      <c r="AE109" s="878"/>
      <c r="AF109" s="878"/>
      <c r="AG109" s="878"/>
      <c r="AH109" s="878"/>
      <c r="AI109" s="878"/>
      <c r="AJ109" s="878"/>
      <c r="AK109" s="878"/>
      <c r="AL109" s="595"/>
      <c r="AM109" s="595"/>
      <c r="AN109" s="595"/>
      <c r="AO109" s="595"/>
      <c r="AP109" s="595"/>
      <c r="AQ109" s="90"/>
      <c r="AR109" s="881" t="s">
        <v>1170</v>
      </c>
      <c r="AS109" s="34" t="s">
        <v>1311</v>
      </c>
      <c r="AT109" s="34" t="s">
        <v>269</v>
      </c>
      <c r="AU109" s="91"/>
      <c r="AV109" s="600"/>
      <c r="AW109" s="840"/>
      <c r="AX109" s="840"/>
      <c r="AY109" s="840"/>
      <c r="AZ109" s="840"/>
      <c r="BA109" s="529"/>
      <c r="BB109" s="600"/>
      <c r="BC109" s="600"/>
      <c r="BD109" s="600"/>
      <c r="BE109" s="529"/>
      <c r="BF109" s="529"/>
      <c r="BG109" s="529"/>
      <c r="BH109" s="873"/>
      <c r="BI109" s="600"/>
      <c r="BJ109" s="201"/>
      <c r="BK109" s="201"/>
      <c r="BN109" s="7"/>
    </row>
    <row r="110" s="9" customFormat="1" ht="80.1" customHeight="1" spans="1:66">
      <c r="A110" s="23">
        <f>SUBTOTAL(3,C$9:C110)</f>
        <v>96</v>
      </c>
      <c r="B110" s="55" t="s">
        <v>1336</v>
      </c>
      <c r="C110" s="646" t="s">
        <v>562</v>
      </c>
      <c r="D110" s="34" t="s">
        <v>1337</v>
      </c>
      <c r="E110" s="35" t="s">
        <v>575</v>
      </c>
      <c r="F110" s="35">
        <v>8471</v>
      </c>
      <c r="G110" s="35">
        <v>200</v>
      </c>
      <c r="H110" s="134"/>
      <c r="I110" s="37">
        <v>300</v>
      </c>
      <c r="J110" s="37">
        <v>2500</v>
      </c>
      <c r="K110" s="37">
        <v>4000</v>
      </c>
      <c r="L110" s="36">
        <v>5000</v>
      </c>
      <c r="M110" s="134"/>
      <c r="N110" s="123" t="s">
        <v>1338</v>
      </c>
      <c r="O110" s="133"/>
      <c r="P110" s="134"/>
      <c r="Q110" s="134"/>
      <c r="R110" s="134"/>
      <c r="S110" s="134"/>
      <c r="T110" s="134"/>
      <c r="U110" s="134"/>
      <c r="V110" s="134"/>
      <c r="W110" s="134"/>
      <c r="X110" s="90"/>
      <c r="Y110" s="90"/>
      <c r="Z110" s="132"/>
      <c r="AA110" s="132"/>
      <c r="AB110" s="132"/>
      <c r="AC110" s="132"/>
      <c r="AD110" s="132"/>
      <c r="AE110" s="132"/>
      <c r="AF110" s="132"/>
      <c r="AG110" s="132"/>
      <c r="AH110" s="132"/>
      <c r="AI110" s="132"/>
      <c r="AJ110" s="132"/>
      <c r="AK110" s="132"/>
      <c r="AL110" s="595"/>
      <c r="AM110" s="595"/>
      <c r="AN110" s="595"/>
      <c r="AO110" s="595"/>
      <c r="AP110" s="595"/>
      <c r="AQ110" s="90"/>
      <c r="AR110" s="90" t="s">
        <v>117</v>
      </c>
      <c r="AS110" s="123" t="s">
        <v>1321</v>
      </c>
      <c r="AT110" s="34" t="s">
        <v>269</v>
      </c>
      <c r="AU110" s="91"/>
      <c r="AV110" s="600"/>
      <c r="AW110" s="840"/>
      <c r="AX110" s="840"/>
      <c r="AY110" s="840"/>
      <c r="AZ110" s="840"/>
      <c r="BA110" s="529"/>
      <c r="BB110" s="600"/>
      <c r="BC110" s="600"/>
      <c r="BD110" s="600"/>
      <c r="BE110" s="529"/>
      <c r="BF110" s="529"/>
      <c r="BG110" s="529"/>
      <c r="BH110" s="873"/>
      <c r="BI110" s="600"/>
      <c r="BJ110" s="201"/>
      <c r="BK110" s="201"/>
      <c r="BN110" s="7"/>
    </row>
    <row r="111" s="9" customFormat="1" ht="80.1" customHeight="1" spans="1:66">
      <c r="A111" s="23">
        <f>SUBTOTAL(3,C$9:C111)</f>
        <v>97</v>
      </c>
      <c r="B111" s="55" t="s">
        <v>1339</v>
      </c>
      <c r="C111" s="35" t="s">
        <v>562</v>
      </c>
      <c r="D111" s="55" t="s">
        <v>1340</v>
      </c>
      <c r="E111" s="35" t="s">
        <v>575</v>
      </c>
      <c r="F111" s="35">
        <v>5000</v>
      </c>
      <c r="G111" s="35">
        <v>500</v>
      </c>
      <c r="H111" s="134"/>
      <c r="I111" s="67">
        <v>300</v>
      </c>
      <c r="J111" s="67">
        <v>600</v>
      </c>
      <c r="K111" s="67">
        <v>800</v>
      </c>
      <c r="L111" s="35">
        <v>1000</v>
      </c>
      <c r="M111" s="134"/>
      <c r="N111" s="123" t="s">
        <v>1341</v>
      </c>
      <c r="O111" s="133"/>
      <c r="P111" s="134"/>
      <c r="Q111" s="134"/>
      <c r="R111" s="134"/>
      <c r="S111" s="134"/>
      <c r="T111" s="134"/>
      <c r="U111" s="134"/>
      <c r="V111" s="134"/>
      <c r="W111" s="134"/>
      <c r="X111" s="90"/>
      <c r="Y111" s="90"/>
      <c r="Z111" s="132"/>
      <c r="AA111" s="132"/>
      <c r="AB111" s="132"/>
      <c r="AC111" s="132"/>
      <c r="AD111" s="132"/>
      <c r="AE111" s="132"/>
      <c r="AF111" s="132"/>
      <c r="AG111" s="132"/>
      <c r="AH111" s="132"/>
      <c r="AI111" s="132"/>
      <c r="AJ111" s="132"/>
      <c r="AK111" s="132"/>
      <c r="AL111" s="595"/>
      <c r="AM111" s="595"/>
      <c r="AN111" s="595"/>
      <c r="AO111" s="595"/>
      <c r="AP111" s="595"/>
      <c r="AQ111" s="90"/>
      <c r="AR111" s="881" t="s">
        <v>1170</v>
      </c>
      <c r="AS111" s="34" t="s">
        <v>1321</v>
      </c>
      <c r="AT111" s="34" t="s">
        <v>269</v>
      </c>
      <c r="AU111" s="91"/>
      <c r="AV111" s="600"/>
      <c r="AW111" s="840"/>
      <c r="AX111" s="840"/>
      <c r="AY111" s="840"/>
      <c r="AZ111" s="840"/>
      <c r="BA111" s="529"/>
      <c r="BB111" s="600"/>
      <c r="BC111" s="600"/>
      <c r="BD111" s="600"/>
      <c r="BE111" s="529"/>
      <c r="BF111" s="529"/>
      <c r="BG111" s="529"/>
      <c r="BH111" s="873"/>
      <c r="BI111" s="600"/>
      <c r="BJ111" s="201"/>
      <c r="BK111" s="201"/>
      <c r="BN111" s="7"/>
    </row>
    <row r="112" s="9" customFormat="1" ht="80.1" customHeight="1" spans="1:66">
      <c r="A112" s="23">
        <f>SUBTOTAL(3,C$9:C112)</f>
        <v>98</v>
      </c>
      <c r="B112" s="55" t="s">
        <v>1342</v>
      </c>
      <c r="C112" s="92" t="s">
        <v>810</v>
      </c>
      <c r="D112" s="34" t="s">
        <v>1343</v>
      </c>
      <c r="E112" s="35" t="s">
        <v>812</v>
      </c>
      <c r="F112" s="35">
        <v>1742</v>
      </c>
      <c r="G112" s="35">
        <v>1200</v>
      </c>
      <c r="H112" s="81" t="s">
        <v>131</v>
      </c>
      <c r="I112" s="37">
        <v>50</v>
      </c>
      <c r="J112" s="37">
        <v>320</v>
      </c>
      <c r="K112" s="37">
        <v>460</v>
      </c>
      <c r="L112" s="23">
        <v>542</v>
      </c>
      <c r="M112" s="134"/>
      <c r="N112" s="123" t="s">
        <v>971</v>
      </c>
      <c r="O112" s="133"/>
      <c r="P112" s="134"/>
      <c r="Q112" s="134"/>
      <c r="R112" s="134"/>
      <c r="S112" s="134"/>
      <c r="T112" s="134"/>
      <c r="U112" s="134"/>
      <c r="V112" s="134"/>
      <c r="W112" s="134"/>
      <c r="X112" s="90"/>
      <c r="Y112" s="90"/>
      <c r="Z112" s="132">
        <v>195</v>
      </c>
      <c r="AA112" s="132">
        <v>100</v>
      </c>
      <c r="AB112" s="132">
        <v>95</v>
      </c>
      <c r="AC112" s="132"/>
      <c r="AD112" s="132"/>
      <c r="AE112" s="132"/>
      <c r="AF112" s="132"/>
      <c r="AG112" s="132"/>
      <c r="AH112" s="132"/>
      <c r="AI112" s="132"/>
      <c r="AJ112" s="132"/>
      <c r="AK112" s="132"/>
      <c r="AL112" s="595"/>
      <c r="AM112" s="595"/>
      <c r="AN112" s="595"/>
      <c r="AO112" s="595"/>
      <c r="AP112" s="595"/>
      <c r="AQ112" s="90"/>
      <c r="AR112" s="66" t="s">
        <v>117</v>
      </c>
      <c r="AS112" s="34" t="s">
        <v>1321</v>
      </c>
      <c r="AT112" s="714" t="s">
        <v>269</v>
      </c>
      <c r="AU112" s="91" t="s">
        <v>1328</v>
      </c>
      <c r="AV112" s="600"/>
      <c r="AW112" s="840"/>
      <c r="AX112" s="840"/>
      <c r="AY112" s="840"/>
      <c r="AZ112" s="840"/>
      <c r="BA112" s="529"/>
      <c r="BB112" s="600"/>
      <c r="BC112" s="600"/>
      <c r="BD112" s="600"/>
      <c r="BE112" s="529"/>
      <c r="BF112" s="529"/>
      <c r="BG112" s="529"/>
      <c r="BH112" s="873"/>
      <c r="BI112" s="600"/>
      <c r="BJ112" s="201"/>
      <c r="BK112" s="201"/>
      <c r="BN112" s="7"/>
    </row>
    <row r="113" s="9" customFormat="1" ht="80.1" customHeight="1" spans="1:66">
      <c r="A113" s="23">
        <f>SUBTOTAL(3,C$9:C113)</f>
        <v>99</v>
      </c>
      <c r="B113" s="55" t="s">
        <v>1344</v>
      </c>
      <c r="C113" s="35" t="s">
        <v>810</v>
      </c>
      <c r="D113" s="55" t="s">
        <v>1345</v>
      </c>
      <c r="E113" s="35" t="s">
        <v>812</v>
      </c>
      <c r="F113" s="35">
        <v>1615</v>
      </c>
      <c r="G113" s="35">
        <v>10</v>
      </c>
      <c r="H113" s="81" t="s">
        <v>131</v>
      </c>
      <c r="I113" s="67">
        <v>100</v>
      </c>
      <c r="J113" s="67">
        <v>600</v>
      </c>
      <c r="K113" s="67">
        <v>1100</v>
      </c>
      <c r="L113" s="35">
        <v>1605</v>
      </c>
      <c r="M113" s="134"/>
      <c r="N113" s="123" t="s">
        <v>971</v>
      </c>
      <c r="O113" s="133"/>
      <c r="P113" s="134"/>
      <c r="Q113" s="134"/>
      <c r="R113" s="134"/>
      <c r="S113" s="134"/>
      <c r="T113" s="134"/>
      <c r="U113" s="134"/>
      <c r="V113" s="134"/>
      <c r="W113" s="134"/>
      <c r="X113" s="90"/>
      <c r="Y113" s="90"/>
      <c r="Z113" s="132"/>
      <c r="AA113" s="132"/>
      <c r="AB113" s="132"/>
      <c r="AC113" s="132"/>
      <c r="AD113" s="132"/>
      <c r="AE113" s="132"/>
      <c r="AF113" s="132"/>
      <c r="AG113" s="132"/>
      <c r="AH113" s="132"/>
      <c r="AI113" s="132"/>
      <c r="AJ113" s="132"/>
      <c r="AK113" s="132"/>
      <c r="AL113" s="595"/>
      <c r="AM113" s="595"/>
      <c r="AN113" s="595"/>
      <c r="AO113" s="595"/>
      <c r="AP113" s="595"/>
      <c r="AQ113" s="90"/>
      <c r="AR113" s="881" t="s">
        <v>1170</v>
      </c>
      <c r="AS113" s="34" t="s">
        <v>1311</v>
      </c>
      <c r="AT113" s="34" t="s">
        <v>269</v>
      </c>
      <c r="AU113" s="91"/>
      <c r="AV113" s="600"/>
      <c r="AW113" s="840"/>
      <c r="AX113" s="840"/>
      <c r="AY113" s="840"/>
      <c r="AZ113" s="840"/>
      <c r="BA113" s="529"/>
      <c r="BB113" s="600"/>
      <c r="BC113" s="600"/>
      <c r="BD113" s="600"/>
      <c r="BE113" s="529"/>
      <c r="BF113" s="529"/>
      <c r="BG113" s="529"/>
      <c r="BH113" s="873"/>
      <c r="BI113" s="600"/>
      <c r="BJ113" s="201"/>
      <c r="BK113" s="201"/>
      <c r="BN113" s="7"/>
    </row>
    <row r="114" s="9" customFormat="1" ht="80.1" customHeight="1" spans="1:66">
      <c r="A114" s="23">
        <f>SUBTOTAL(3,C$9:C114)</f>
        <v>100</v>
      </c>
      <c r="B114" s="55" t="s">
        <v>1346</v>
      </c>
      <c r="C114" s="35" t="s">
        <v>79</v>
      </c>
      <c r="D114" s="232" t="s">
        <v>1347</v>
      </c>
      <c r="E114" s="35" t="s">
        <v>143</v>
      </c>
      <c r="F114" s="35">
        <v>11000</v>
      </c>
      <c r="G114" s="35"/>
      <c r="H114" s="81" t="s">
        <v>131</v>
      </c>
      <c r="I114" s="81"/>
      <c r="J114" s="81"/>
      <c r="K114" s="578"/>
      <c r="L114" s="35">
        <v>1000</v>
      </c>
      <c r="M114" s="35"/>
      <c r="N114" s="34" t="s">
        <v>284</v>
      </c>
      <c r="O114" s="133"/>
      <c r="P114" s="134"/>
      <c r="Q114" s="134"/>
      <c r="R114" s="134"/>
      <c r="S114" s="134"/>
      <c r="T114" s="134"/>
      <c r="U114" s="134"/>
      <c r="V114" s="134"/>
      <c r="W114" s="134"/>
      <c r="X114" s="90"/>
      <c r="Y114" s="90"/>
      <c r="Z114" s="132"/>
      <c r="AA114" s="132"/>
      <c r="AB114" s="132"/>
      <c r="AC114" s="132"/>
      <c r="AD114" s="132"/>
      <c r="AE114" s="132"/>
      <c r="AF114" s="132"/>
      <c r="AG114" s="132"/>
      <c r="AH114" s="132"/>
      <c r="AI114" s="132"/>
      <c r="AJ114" s="132"/>
      <c r="AK114" s="595"/>
      <c r="AL114" s="595"/>
      <c r="AM114" s="595"/>
      <c r="AN114" s="595"/>
      <c r="AO114" s="595"/>
      <c r="AP114" s="595"/>
      <c r="AQ114" s="90"/>
      <c r="AR114" s="112" t="s">
        <v>202</v>
      </c>
      <c r="AS114" s="34" t="s">
        <v>785</v>
      </c>
      <c r="AT114" s="34" t="s">
        <v>317</v>
      </c>
      <c r="AU114" s="93"/>
      <c r="AV114" s="600"/>
      <c r="AW114" s="840"/>
      <c r="AX114" s="840"/>
      <c r="AY114" s="840"/>
      <c r="AZ114" s="840"/>
      <c r="BA114" s="529"/>
      <c r="BB114" s="600"/>
      <c r="BC114" s="600"/>
      <c r="BD114" s="600"/>
      <c r="BE114" s="529"/>
      <c r="BF114" s="529"/>
      <c r="BG114" s="529"/>
      <c r="BH114" s="873"/>
      <c r="BI114" s="600"/>
      <c r="BJ114" s="201"/>
      <c r="BK114" s="201"/>
      <c r="BN114" s="7"/>
    </row>
    <row r="115" s="9" customFormat="1" ht="80.1" customHeight="1" spans="1:66">
      <c r="A115" s="23">
        <f>SUBTOTAL(3,C$9:C115)</f>
        <v>101</v>
      </c>
      <c r="B115" s="55" t="s">
        <v>1348</v>
      </c>
      <c r="C115" s="35" t="s">
        <v>562</v>
      </c>
      <c r="D115" s="232" t="s">
        <v>1349</v>
      </c>
      <c r="E115" s="35" t="s">
        <v>604</v>
      </c>
      <c r="F115" s="35">
        <v>180642</v>
      </c>
      <c r="G115" s="35">
        <v>22850</v>
      </c>
      <c r="H115" s="134"/>
      <c r="I115" s="67">
        <v>2000</v>
      </c>
      <c r="J115" s="67">
        <v>7000</v>
      </c>
      <c r="K115" s="67">
        <v>14000</v>
      </c>
      <c r="L115" s="35">
        <v>20000</v>
      </c>
      <c r="M115" s="134"/>
      <c r="N115" s="123" t="s">
        <v>1350</v>
      </c>
      <c r="O115" s="133"/>
      <c r="P115" s="134"/>
      <c r="Q115" s="134"/>
      <c r="R115" s="134"/>
      <c r="S115" s="134"/>
      <c r="T115" s="134"/>
      <c r="U115" s="134"/>
      <c r="V115" s="134"/>
      <c r="W115" s="134"/>
      <c r="X115" s="90"/>
      <c r="Y115" s="90"/>
      <c r="Z115" s="132">
        <v>2169.0457</v>
      </c>
      <c r="AA115" s="132"/>
      <c r="AB115" s="132">
        <v>2169.0457</v>
      </c>
      <c r="AC115" s="132"/>
      <c r="AD115" s="132"/>
      <c r="AE115" s="132"/>
      <c r="AF115" s="132"/>
      <c r="AG115" s="132"/>
      <c r="AH115" s="132"/>
      <c r="AI115" s="132"/>
      <c r="AJ115" s="132"/>
      <c r="AK115" s="132"/>
      <c r="AL115" s="595"/>
      <c r="AM115" s="595"/>
      <c r="AN115" s="595"/>
      <c r="AO115" s="595"/>
      <c r="AP115" s="595"/>
      <c r="AQ115" s="90"/>
      <c r="AR115" s="90" t="s">
        <v>1351</v>
      </c>
      <c r="AS115" s="34" t="s">
        <v>785</v>
      </c>
      <c r="AT115" s="34" t="s">
        <v>317</v>
      </c>
      <c r="AU115" s="91"/>
      <c r="AV115" s="600"/>
      <c r="AW115" s="840"/>
      <c r="AX115" s="840"/>
      <c r="AY115" s="840"/>
      <c r="AZ115" s="840"/>
      <c r="BA115" s="529"/>
      <c r="BB115" s="600"/>
      <c r="BC115" s="600"/>
      <c r="BD115" s="600"/>
      <c r="BE115" s="529"/>
      <c r="BF115" s="529"/>
      <c r="BG115" s="529"/>
      <c r="BH115" s="873"/>
      <c r="BI115" s="600"/>
      <c r="BJ115" s="201"/>
      <c r="BK115" s="201"/>
      <c r="BN115" s="7"/>
    </row>
    <row r="116" ht="90" customHeight="1" spans="1:66">
      <c r="A116" s="23">
        <f>SUBTOTAL(3,C$9:C116)</f>
        <v>102</v>
      </c>
      <c r="B116" s="55" t="s">
        <v>1352</v>
      </c>
      <c r="C116" s="87" t="s">
        <v>562</v>
      </c>
      <c r="D116" s="232" t="s">
        <v>1353</v>
      </c>
      <c r="E116" s="35" t="s">
        <v>1354</v>
      </c>
      <c r="F116" s="35">
        <v>27808</v>
      </c>
      <c r="G116" s="35">
        <v>4410</v>
      </c>
      <c r="H116" s="83"/>
      <c r="I116" s="67">
        <v>200</v>
      </c>
      <c r="J116" s="67">
        <v>1000</v>
      </c>
      <c r="K116" s="67">
        <v>2500</v>
      </c>
      <c r="L116" s="35">
        <v>3000</v>
      </c>
      <c r="M116" s="67"/>
      <c r="N116" s="123" t="s">
        <v>1355</v>
      </c>
      <c r="O116" s="111"/>
      <c r="P116" s="858"/>
      <c r="Q116" s="115"/>
      <c r="R116" s="115"/>
      <c r="S116" s="115"/>
      <c r="T116" s="115"/>
      <c r="U116" s="115"/>
      <c r="V116" s="115"/>
      <c r="W116" s="115"/>
      <c r="X116" s="90"/>
      <c r="Y116" s="90"/>
      <c r="Z116" s="132"/>
      <c r="AA116" s="132"/>
      <c r="AB116" s="132"/>
      <c r="AC116" s="132"/>
      <c r="AD116" s="132"/>
      <c r="AE116" s="132"/>
      <c r="AF116" s="132"/>
      <c r="AG116" s="132"/>
      <c r="AH116" s="132"/>
      <c r="AI116" s="132"/>
      <c r="AJ116" s="132"/>
      <c r="AK116" s="132"/>
      <c r="AL116" s="132"/>
      <c r="AM116" s="132"/>
      <c r="AN116" s="132"/>
      <c r="AO116" s="132"/>
      <c r="AP116" s="132"/>
      <c r="AQ116" s="90"/>
      <c r="AR116" s="90" t="s">
        <v>1356</v>
      </c>
      <c r="AS116" s="34" t="s">
        <v>1187</v>
      </c>
      <c r="AT116" s="34" t="s">
        <v>317</v>
      </c>
      <c r="AU116" s="91"/>
      <c r="AV116" s="201"/>
      <c r="AW116" s="598"/>
      <c r="AX116" s="598"/>
      <c r="AY116" s="840"/>
      <c r="AZ116" s="840"/>
      <c r="BA116" s="530"/>
      <c r="BB116" s="870"/>
      <c r="BC116" s="201"/>
      <c r="BD116" s="201"/>
      <c r="BE116" s="201"/>
      <c r="BF116" s="201"/>
      <c r="BG116" s="201"/>
      <c r="BH116" s="874"/>
      <c r="BI116" s="201"/>
      <c r="BJ116" s="201"/>
      <c r="BK116" s="201"/>
      <c r="BL116" s="201"/>
      <c r="BM116" s="201"/>
      <c r="BN116" s="201"/>
    </row>
    <row r="117" s="9" customFormat="1" ht="68.1" customHeight="1" spans="1:66">
      <c r="A117" s="23">
        <f>SUBTOTAL(3,C$9:C117)</f>
        <v>103</v>
      </c>
      <c r="B117" s="829" t="s">
        <v>1357</v>
      </c>
      <c r="C117" s="35" t="s">
        <v>562</v>
      </c>
      <c r="D117" s="232" t="s">
        <v>1358</v>
      </c>
      <c r="E117" s="35" t="s">
        <v>575</v>
      </c>
      <c r="F117" s="35">
        <v>18064</v>
      </c>
      <c r="G117" s="35">
        <v>4550</v>
      </c>
      <c r="H117" s="134"/>
      <c r="I117" s="234">
        <v>150</v>
      </c>
      <c r="J117" s="234">
        <v>350</v>
      </c>
      <c r="K117" s="234">
        <v>600</v>
      </c>
      <c r="L117" s="35">
        <v>1000</v>
      </c>
      <c r="M117" s="134"/>
      <c r="N117" s="125" t="s">
        <v>1359</v>
      </c>
      <c r="O117" s="133"/>
      <c r="P117" s="134"/>
      <c r="Q117" s="134"/>
      <c r="R117" s="134"/>
      <c r="S117" s="134"/>
      <c r="T117" s="134"/>
      <c r="U117" s="134"/>
      <c r="V117" s="134"/>
      <c r="W117" s="134"/>
      <c r="X117" s="90"/>
      <c r="Y117" s="90"/>
      <c r="Z117" s="132"/>
      <c r="AA117" s="132"/>
      <c r="AB117" s="132"/>
      <c r="AC117" s="132"/>
      <c r="AD117" s="132"/>
      <c r="AE117" s="132"/>
      <c r="AF117" s="132"/>
      <c r="AG117" s="132"/>
      <c r="AH117" s="132"/>
      <c r="AI117" s="132"/>
      <c r="AJ117" s="132"/>
      <c r="AK117" s="132"/>
      <c r="AL117" s="595"/>
      <c r="AM117" s="595"/>
      <c r="AN117" s="595"/>
      <c r="AO117" s="595"/>
      <c r="AP117" s="595"/>
      <c r="AQ117" s="90"/>
      <c r="AR117" s="90" t="s">
        <v>1360</v>
      </c>
      <c r="AS117" s="34" t="s">
        <v>1187</v>
      </c>
      <c r="AT117" s="34" t="s">
        <v>317</v>
      </c>
      <c r="AU117" s="91"/>
      <c r="AV117" s="600"/>
      <c r="AW117" s="840"/>
      <c r="AX117" s="840"/>
      <c r="AY117" s="840"/>
      <c r="AZ117" s="840"/>
      <c r="BA117" s="529"/>
      <c r="BB117" s="600"/>
      <c r="BC117" s="600"/>
      <c r="BD117" s="600"/>
      <c r="BE117" s="529"/>
      <c r="BF117" s="529"/>
      <c r="BG117" s="529"/>
      <c r="BH117" s="873"/>
      <c r="BI117" s="600"/>
      <c r="BJ117" s="201"/>
      <c r="BK117" s="201"/>
      <c r="BN117" s="7"/>
    </row>
    <row r="118" s="9" customFormat="1" ht="71.1" customHeight="1" spans="1:66">
      <c r="A118" s="23">
        <f>SUBTOTAL(3,C$9:C118)</f>
        <v>104</v>
      </c>
      <c r="B118" s="55" t="s">
        <v>1361</v>
      </c>
      <c r="C118" s="35" t="s">
        <v>810</v>
      </c>
      <c r="D118" s="877" t="s">
        <v>1362</v>
      </c>
      <c r="E118" s="35" t="s">
        <v>812</v>
      </c>
      <c r="F118" s="35">
        <v>5300</v>
      </c>
      <c r="G118" s="35">
        <v>3800</v>
      </c>
      <c r="H118" s="81" t="s">
        <v>244</v>
      </c>
      <c r="I118" s="37">
        <v>1500</v>
      </c>
      <c r="J118" s="37">
        <v>1500</v>
      </c>
      <c r="K118" s="37">
        <v>1500</v>
      </c>
      <c r="L118" s="35">
        <v>1500</v>
      </c>
      <c r="M118" s="134"/>
      <c r="N118" s="123" t="s">
        <v>971</v>
      </c>
      <c r="O118" s="133"/>
      <c r="P118" s="134"/>
      <c r="Q118" s="134"/>
      <c r="R118" s="134"/>
      <c r="S118" s="134"/>
      <c r="T118" s="134"/>
      <c r="U118" s="134"/>
      <c r="V118" s="134"/>
      <c r="W118" s="134"/>
      <c r="X118" s="90"/>
      <c r="Y118" s="90"/>
      <c r="Z118" s="132"/>
      <c r="AA118" s="132"/>
      <c r="AB118" s="132"/>
      <c r="AC118" s="132"/>
      <c r="AD118" s="132"/>
      <c r="AE118" s="132"/>
      <c r="AF118" s="132"/>
      <c r="AG118" s="132"/>
      <c r="AH118" s="132"/>
      <c r="AI118" s="132"/>
      <c r="AJ118" s="132"/>
      <c r="AK118" s="132"/>
      <c r="AL118" s="595"/>
      <c r="AM118" s="595"/>
      <c r="AN118" s="595"/>
      <c r="AO118" s="595"/>
      <c r="AP118" s="595"/>
      <c r="AQ118" s="90"/>
      <c r="AR118" s="34" t="s">
        <v>117</v>
      </c>
      <c r="AS118" s="882" t="s">
        <v>1363</v>
      </c>
      <c r="AT118" s="34" t="s">
        <v>317</v>
      </c>
      <c r="AU118" s="91"/>
      <c r="AV118" s="600"/>
      <c r="AW118" s="840"/>
      <c r="AX118" s="840"/>
      <c r="AY118" s="840"/>
      <c r="AZ118" s="840"/>
      <c r="BA118" s="529"/>
      <c r="BB118" s="600"/>
      <c r="BC118" s="600"/>
      <c r="BD118" s="600"/>
      <c r="BE118" s="529"/>
      <c r="BF118" s="529"/>
      <c r="BG118" s="529"/>
      <c r="BH118" s="873"/>
      <c r="BI118" s="600"/>
      <c r="BJ118" s="201"/>
      <c r="BK118" s="201"/>
      <c r="BN118" s="7"/>
    </row>
    <row r="119" s="9" customFormat="1" ht="80.1" customHeight="1" spans="1:66">
      <c r="A119" s="23">
        <f>SUBTOTAL(3,C$9:C119)</f>
        <v>105</v>
      </c>
      <c r="B119" s="829" t="s">
        <v>1364</v>
      </c>
      <c r="C119" s="35" t="s">
        <v>810</v>
      </c>
      <c r="D119" s="565" t="s">
        <v>1365</v>
      </c>
      <c r="E119" s="35" t="s">
        <v>832</v>
      </c>
      <c r="F119" s="35">
        <v>5000</v>
      </c>
      <c r="G119" s="35">
        <v>2400</v>
      </c>
      <c r="H119" s="81" t="s">
        <v>283</v>
      </c>
      <c r="I119" s="37">
        <v>500</v>
      </c>
      <c r="J119" s="37">
        <v>1200</v>
      </c>
      <c r="K119" s="37">
        <v>1800</v>
      </c>
      <c r="L119" s="35">
        <v>2600</v>
      </c>
      <c r="M119" s="134"/>
      <c r="N119" s="123" t="s">
        <v>971</v>
      </c>
      <c r="O119" s="133"/>
      <c r="P119" s="134"/>
      <c r="Q119" s="134"/>
      <c r="R119" s="134"/>
      <c r="S119" s="134"/>
      <c r="T119" s="134"/>
      <c r="U119" s="134"/>
      <c r="V119" s="134"/>
      <c r="W119" s="134"/>
      <c r="X119" s="90"/>
      <c r="Y119" s="90"/>
      <c r="Z119" s="132">
        <v>9.69</v>
      </c>
      <c r="AA119" s="132">
        <v>9.69</v>
      </c>
      <c r="AB119" s="132"/>
      <c r="AC119" s="132"/>
      <c r="AD119" s="132"/>
      <c r="AE119" s="132"/>
      <c r="AF119" s="132"/>
      <c r="AG119" s="132"/>
      <c r="AH119" s="132"/>
      <c r="AI119" s="132"/>
      <c r="AJ119" s="132"/>
      <c r="AK119" s="132"/>
      <c r="AL119" s="595"/>
      <c r="AM119" s="595"/>
      <c r="AN119" s="595"/>
      <c r="AO119" s="595"/>
      <c r="AP119" s="595"/>
      <c r="AQ119" s="90"/>
      <c r="AR119" s="883" t="s">
        <v>1366</v>
      </c>
      <c r="AS119" s="34" t="s">
        <v>785</v>
      </c>
      <c r="AT119" s="34" t="s">
        <v>317</v>
      </c>
      <c r="AU119" s="91"/>
      <c r="AV119" s="600"/>
      <c r="AW119" s="840"/>
      <c r="AX119" s="840"/>
      <c r="AY119" s="840"/>
      <c r="AZ119" s="840"/>
      <c r="BA119" s="529"/>
      <c r="BB119" s="600"/>
      <c r="BC119" s="600"/>
      <c r="BD119" s="600"/>
      <c r="BE119" s="529"/>
      <c r="BF119" s="529"/>
      <c r="BG119" s="529"/>
      <c r="BH119" s="873"/>
      <c r="BI119" s="600"/>
      <c r="BJ119" s="201"/>
      <c r="BK119" s="201"/>
      <c r="BN119" s="7"/>
    </row>
    <row r="120" s="9" customFormat="1" ht="62.1" customHeight="1" spans="1:66">
      <c r="A120" s="23">
        <f>SUBTOTAL(3,C$9:C120)</f>
        <v>106</v>
      </c>
      <c r="B120" s="55" t="s">
        <v>1367</v>
      </c>
      <c r="C120" s="35" t="s">
        <v>810</v>
      </c>
      <c r="D120" s="58" t="s">
        <v>1368</v>
      </c>
      <c r="E120" s="35" t="s">
        <v>812</v>
      </c>
      <c r="F120" s="36">
        <v>5000</v>
      </c>
      <c r="G120" s="36">
        <v>1000</v>
      </c>
      <c r="H120" s="81" t="s">
        <v>131</v>
      </c>
      <c r="I120" s="36">
        <v>1000</v>
      </c>
      <c r="J120" s="36">
        <v>2000</v>
      </c>
      <c r="K120" s="36">
        <v>3000</v>
      </c>
      <c r="L120" s="36">
        <v>4000</v>
      </c>
      <c r="M120" s="134"/>
      <c r="N120" s="123" t="s">
        <v>971</v>
      </c>
      <c r="O120" s="133"/>
      <c r="P120" s="134"/>
      <c r="Q120" s="134"/>
      <c r="R120" s="134"/>
      <c r="S120" s="134"/>
      <c r="T120" s="134"/>
      <c r="U120" s="134"/>
      <c r="V120" s="134"/>
      <c r="W120" s="134"/>
      <c r="X120" s="90"/>
      <c r="Y120" s="90"/>
      <c r="Z120" s="132"/>
      <c r="AA120" s="132"/>
      <c r="AB120" s="132"/>
      <c r="AC120" s="132"/>
      <c r="AD120" s="132"/>
      <c r="AE120" s="132"/>
      <c r="AF120" s="132"/>
      <c r="AG120" s="132"/>
      <c r="AH120" s="132"/>
      <c r="AI120" s="132"/>
      <c r="AJ120" s="132"/>
      <c r="AK120" s="132"/>
      <c r="AL120" s="595"/>
      <c r="AM120" s="595"/>
      <c r="AN120" s="595"/>
      <c r="AO120" s="595"/>
      <c r="AP120" s="595"/>
      <c r="AQ120" s="90"/>
      <c r="AR120" s="112" t="s">
        <v>117</v>
      </c>
      <c r="AS120" s="34" t="s">
        <v>1369</v>
      </c>
      <c r="AT120" s="34" t="s">
        <v>359</v>
      </c>
      <c r="AU120" s="91"/>
      <c r="AV120" s="600"/>
      <c r="AW120" s="840"/>
      <c r="AX120" s="840"/>
      <c r="AY120" s="840"/>
      <c r="AZ120" s="840"/>
      <c r="BA120" s="529"/>
      <c r="BB120" s="600"/>
      <c r="BC120" s="600"/>
      <c r="BD120" s="600"/>
      <c r="BE120" s="529"/>
      <c r="BF120" s="529"/>
      <c r="BG120" s="529"/>
      <c r="BH120" s="873"/>
      <c r="BI120" s="600"/>
      <c r="BJ120" s="201"/>
      <c r="BK120" s="201"/>
      <c r="BN120" s="7"/>
    </row>
    <row r="121" s="9" customFormat="1" ht="80.1" customHeight="1" spans="1:66">
      <c r="A121" s="23">
        <f>SUBTOTAL(3,C$9:C121)</f>
        <v>107</v>
      </c>
      <c r="B121" s="628" t="s">
        <v>1370</v>
      </c>
      <c r="C121" s="23" t="s">
        <v>79</v>
      </c>
      <c r="D121" s="66" t="s">
        <v>1371</v>
      </c>
      <c r="E121" s="23" t="s">
        <v>112</v>
      </c>
      <c r="F121" s="67">
        <v>8381</v>
      </c>
      <c r="G121" s="67"/>
      <c r="H121" s="81" t="s">
        <v>177</v>
      </c>
      <c r="I121" s="37">
        <v>0</v>
      </c>
      <c r="J121" s="37">
        <v>400</v>
      </c>
      <c r="K121" s="37">
        <v>1400</v>
      </c>
      <c r="L121" s="67">
        <v>3000</v>
      </c>
      <c r="M121" s="67"/>
      <c r="N121" s="857" t="s">
        <v>1372</v>
      </c>
      <c r="O121" s="133"/>
      <c r="P121" s="134"/>
      <c r="Q121" s="134"/>
      <c r="R121" s="134"/>
      <c r="S121" s="134"/>
      <c r="T121" s="134"/>
      <c r="U121" s="134"/>
      <c r="V121" s="134"/>
      <c r="W121" s="134"/>
      <c r="X121" s="90"/>
      <c r="Y121" s="90"/>
      <c r="Z121" s="132"/>
      <c r="AA121" s="132"/>
      <c r="AB121" s="132"/>
      <c r="AC121" s="132"/>
      <c r="AD121" s="132"/>
      <c r="AE121" s="132"/>
      <c r="AF121" s="132"/>
      <c r="AG121" s="132"/>
      <c r="AH121" s="132"/>
      <c r="AI121" s="132"/>
      <c r="AJ121" s="132"/>
      <c r="AK121" s="595"/>
      <c r="AL121" s="595"/>
      <c r="AM121" s="595"/>
      <c r="AN121" s="595"/>
      <c r="AO121" s="595"/>
      <c r="AP121" s="595"/>
      <c r="AQ121" s="90"/>
      <c r="AR121" s="112" t="s">
        <v>117</v>
      </c>
      <c r="AS121" s="123" t="s">
        <v>807</v>
      </c>
      <c r="AT121" s="123" t="s">
        <v>375</v>
      </c>
      <c r="AU121" s="93"/>
      <c r="AV121" s="600"/>
      <c r="AW121" s="840"/>
      <c r="AX121" s="840"/>
      <c r="AY121" s="840"/>
      <c r="AZ121" s="840"/>
      <c r="BA121" s="529"/>
      <c r="BB121" s="600"/>
      <c r="BC121" s="600"/>
      <c r="BD121" s="600"/>
      <c r="BE121" s="529"/>
      <c r="BF121" s="529"/>
      <c r="BG121" s="529"/>
      <c r="BH121" s="873"/>
      <c r="BI121" s="600"/>
      <c r="BJ121" s="201"/>
      <c r="BK121" s="201"/>
      <c r="BN121" s="7"/>
    </row>
    <row r="122" ht="80.1" customHeight="1" spans="1:47">
      <c r="A122" s="23">
        <f>SUBTOTAL(3,C$9:C122)</f>
        <v>108</v>
      </c>
      <c r="B122" s="34" t="s">
        <v>1373</v>
      </c>
      <c r="C122" s="23" t="s">
        <v>79</v>
      </c>
      <c r="D122" s="34" t="s">
        <v>1374</v>
      </c>
      <c r="E122" s="35" t="s">
        <v>112</v>
      </c>
      <c r="F122" s="35">
        <v>2305</v>
      </c>
      <c r="G122" s="134"/>
      <c r="H122" s="81" t="s">
        <v>353</v>
      </c>
      <c r="I122" s="37">
        <v>100</v>
      </c>
      <c r="J122" s="37">
        <v>250</v>
      </c>
      <c r="K122" s="37">
        <v>700</v>
      </c>
      <c r="L122" s="36">
        <v>1000</v>
      </c>
      <c r="M122" s="134"/>
      <c r="N122" s="857" t="s">
        <v>1375</v>
      </c>
      <c r="O122" s="133"/>
      <c r="P122" s="134"/>
      <c r="Q122" s="134"/>
      <c r="R122" s="134"/>
      <c r="S122" s="134"/>
      <c r="T122" s="134"/>
      <c r="U122" s="134"/>
      <c r="V122" s="134"/>
      <c r="W122" s="134"/>
      <c r="X122" s="90"/>
      <c r="Y122" s="90"/>
      <c r="Z122" s="132"/>
      <c r="AA122" s="132"/>
      <c r="AB122" s="132"/>
      <c r="AC122" s="132"/>
      <c r="AD122" s="132"/>
      <c r="AE122" s="132"/>
      <c r="AF122" s="132"/>
      <c r="AG122" s="132"/>
      <c r="AH122" s="132"/>
      <c r="AI122" s="132"/>
      <c r="AJ122" s="132"/>
      <c r="AK122" s="132"/>
      <c r="AL122" s="595"/>
      <c r="AM122" s="595"/>
      <c r="AN122" s="595"/>
      <c r="AO122" s="595"/>
      <c r="AP122" s="595"/>
      <c r="AQ122" s="90"/>
      <c r="AR122" s="112" t="s">
        <v>806</v>
      </c>
      <c r="AS122" s="123" t="s">
        <v>807</v>
      </c>
      <c r="AT122" s="123" t="s">
        <v>375</v>
      </c>
      <c r="AU122" s="93"/>
    </row>
    <row r="123" ht="80.1" customHeight="1" spans="1:47">
      <c r="A123" s="23">
        <f>SUBTOTAL(3,C$9:C123)</f>
        <v>109</v>
      </c>
      <c r="B123" s="55" t="s">
        <v>1376</v>
      </c>
      <c r="C123" s="156" t="s">
        <v>562</v>
      </c>
      <c r="D123" s="55" t="s">
        <v>1377</v>
      </c>
      <c r="E123" s="693" t="s">
        <v>575</v>
      </c>
      <c r="F123" s="156">
        <v>42950</v>
      </c>
      <c r="G123" s="156">
        <v>1040</v>
      </c>
      <c r="H123" s="134"/>
      <c r="I123" s="35">
        <v>600</v>
      </c>
      <c r="J123" s="35">
        <v>1200</v>
      </c>
      <c r="K123" s="35">
        <v>2000</v>
      </c>
      <c r="L123" s="156">
        <v>3000</v>
      </c>
      <c r="M123" s="134"/>
      <c r="N123" s="34" t="s">
        <v>1378</v>
      </c>
      <c r="O123" s="133"/>
      <c r="P123" s="134"/>
      <c r="Q123" s="134"/>
      <c r="R123" s="134"/>
      <c r="S123" s="134"/>
      <c r="T123" s="134"/>
      <c r="U123" s="134"/>
      <c r="V123" s="134"/>
      <c r="W123" s="134"/>
      <c r="X123" s="90"/>
      <c r="Y123" s="90"/>
      <c r="Z123" s="132"/>
      <c r="AA123" s="132"/>
      <c r="AB123" s="132"/>
      <c r="AC123" s="132"/>
      <c r="AD123" s="132"/>
      <c r="AE123" s="132"/>
      <c r="AF123" s="132"/>
      <c r="AG123" s="132"/>
      <c r="AH123" s="132"/>
      <c r="AI123" s="132"/>
      <c r="AJ123" s="132"/>
      <c r="AK123" s="132"/>
      <c r="AL123" s="595"/>
      <c r="AM123" s="595"/>
      <c r="AN123" s="595"/>
      <c r="AO123" s="595"/>
      <c r="AP123" s="595"/>
      <c r="AQ123" s="90"/>
      <c r="AR123" s="112" t="s">
        <v>1379</v>
      </c>
      <c r="AS123" s="34" t="s">
        <v>807</v>
      </c>
      <c r="AT123" s="34" t="s">
        <v>375</v>
      </c>
      <c r="AU123" s="91"/>
    </row>
    <row r="124" s="9" customFormat="1" ht="63" customHeight="1" spans="1:66">
      <c r="A124" s="23">
        <f>SUBTOTAL(3,C$9:C124)</f>
        <v>110</v>
      </c>
      <c r="B124" s="628" t="s">
        <v>1380</v>
      </c>
      <c r="C124" s="35" t="s">
        <v>810</v>
      </c>
      <c r="D124" s="629" t="s">
        <v>1381</v>
      </c>
      <c r="E124" s="23" t="s">
        <v>827</v>
      </c>
      <c r="F124" s="67">
        <v>7000</v>
      </c>
      <c r="G124" s="67">
        <v>6500</v>
      </c>
      <c r="H124" s="81" t="s">
        <v>244</v>
      </c>
      <c r="I124" s="37">
        <v>500</v>
      </c>
      <c r="J124" s="37">
        <v>500</v>
      </c>
      <c r="K124" s="37">
        <v>500</v>
      </c>
      <c r="L124" s="38">
        <v>500</v>
      </c>
      <c r="M124" s="134"/>
      <c r="N124" s="123" t="s">
        <v>971</v>
      </c>
      <c r="O124" s="133"/>
      <c r="P124" s="134"/>
      <c r="Q124" s="134"/>
      <c r="R124" s="134"/>
      <c r="S124" s="134"/>
      <c r="T124" s="134"/>
      <c r="U124" s="134"/>
      <c r="V124" s="134"/>
      <c r="W124" s="134"/>
      <c r="X124" s="90"/>
      <c r="Y124" s="90"/>
      <c r="Z124" s="132"/>
      <c r="AA124" s="132"/>
      <c r="AB124" s="132"/>
      <c r="AC124" s="132"/>
      <c r="AD124" s="132"/>
      <c r="AE124" s="132"/>
      <c r="AF124" s="132"/>
      <c r="AG124" s="132"/>
      <c r="AH124" s="132"/>
      <c r="AI124" s="132"/>
      <c r="AJ124" s="132"/>
      <c r="AK124" s="132"/>
      <c r="AL124" s="595"/>
      <c r="AM124" s="595"/>
      <c r="AN124" s="595"/>
      <c r="AO124" s="595"/>
      <c r="AP124" s="595"/>
      <c r="AQ124" s="90"/>
      <c r="AR124" s="66" t="s">
        <v>117</v>
      </c>
      <c r="AS124" s="123" t="s">
        <v>1382</v>
      </c>
      <c r="AT124" s="34" t="s">
        <v>375</v>
      </c>
      <c r="AU124" s="91"/>
      <c r="AV124" s="600"/>
      <c r="AW124" s="840"/>
      <c r="AX124" s="840"/>
      <c r="AY124" s="840"/>
      <c r="AZ124" s="840"/>
      <c r="BA124" s="529"/>
      <c r="BB124" s="600"/>
      <c r="BC124" s="600"/>
      <c r="BD124" s="600"/>
      <c r="BE124" s="529"/>
      <c r="BF124" s="529"/>
      <c r="BG124" s="529"/>
      <c r="BH124" s="873"/>
      <c r="BI124" s="600"/>
      <c r="BJ124" s="201"/>
      <c r="BK124" s="201"/>
      <c r="BN124" s="7"/>
    </row>
    <row r="125" ht="80.1" customHeight="1" spans="1:47">
      <c r="A125" s="23">
        <f>SUBTOTAL(3,C$9:C125)</f>
        <v>111</v>
      </c>
      <c r="B125" s="58" t="s">
        <v>1383</v>
      </c>
      <c r="C125" s="35" t="s">
        <v>810</v>
      </c>
      <c r="D125" s="60" t="s">
        <v>1384</v>
      </c>
      <c r="E125" s="23" t="s">
        <v>827</v>
      </c>
      <c r="F125" s="67">
        <v>6300</v>
      </c>
      <c r="G125" s="67">
        <v>5800</v>
      </c>
      <c r="H125" s="81" t="s">
        <v>244</v>
      </c>
      <c r="I125" s="81">
        <v>500</v>
      </c>
      <c r="J125" s="81">
        <v>500</v>
      </c>
      <c r="K125" s="81">
        <v>500</v>
      </c>
      <c r="L125" s="36">
        <v>500</v>
      </c>
      <c r="M125" s="134"/>
      <c r="N125" s="123" t="s">
        <v>971</v>
      </c>
      <c r="O125" s="133"/>
      <c r="P125" s="134"/>
      <c r="Q125" s="134"/>
      <c r="R125" s="134"/>
      <c r="S125" s="134"/>
      <c r="T125" s="134"/>
      <c r="U125" s="134"/>
      <c r="V125" s="134"/>
      <c r="W125" s="134"/>
      <c r="X125" s="90"/>
      <c r="Y125" s="90"/>
      <c r="Z125" s="251"/>
      <c r="AA125" s="251"/>
      <c r="AB125" s="251"/>
      <c r="AC125" s="251"/>
      <c r="AD125" s="251"/>
      <c r="AE125" s="251"/>
      <c r="AF125" s="251"/>
      <c r="AG125" s="251"/>
      <c r="AH125" s="251"/>
      <c r="AI125" s="251"/>
      <c r="AJ125" s="251"/>
      <c r="AK125" s="251"/>
      <c r="AL125" s="595"/>
      <c r="AM125" s="595"/>
      <c r="AN125" s="595"/>
      <c r="AO125" s="595"/>
      <c r="AP125" s="595"/>
      <c r="AQ125" s="90"/>
      <c r="AR125" s="884" t="s">
        <v>117</v>
      </c>
      <c r="AS125" s="123" t="s">
        <v>807</v>
      </c>
      <c r="AT125" s="34" t="s">
        <v>375</v>
      </c>
      <c r="AU125" s="93"/>
    </row>
    <row r="126" s="9" customFormat="1" ht="30.75" customHeight="1" spans="1:66">
      <c r="A126" s="551" t="s">
        <v>448</v>
      </c>
      <c r="B126" s="557" t="str">
        <f>"园区基础设施（"&amp;SUBTOTAL(3,C127:C183)&amp;"个）"</f>
        <v>园区基础设施（57个）</v>
      </c>
      <c r="C126" s="557"/>
      <c r="D126" s="557"/>
      <c r="E126" s="35"/>
      <c r="F126" s="99">
        <f t="shared" ref="F126:M126" si="14">SUM(F127:F183)</f>
        <v>2021264.706</v>
      </c>
      <c r="G126" s="99">
        <f t="shared" si="14"/>
        <v>438496</v>
      </c>
      <c r="H126" s="99"/>
      <c r="I126" s="99">
        <f t="shared" si="14"/>
        <v>43238</v>
      </c>
      <c r="J126" s="99">
        <f t="shared" si="14"/>
        <v>90608</v>
      </c>
      <c r="K126" s="99">
        <f t="shared" si="14"/>
        <v>176428</v>
      </c>
      <c r="L126" s="99">
        <f t="shared" si="14"/>
        <v>270517.086</v>
      </c>
      <c r="M126" s="99">
        <f t="shared" si="14"/>
        <v>0</v>
      </c>
      <c r="N126" s="99"/>
      <c r="O126" s="133"/>
      <c r="P126" s="134"/>
      <c r="Q126" s="134"/>
      <c r="R126" s="134"/>
      <c r="S126" s="134"/>
      <c r="T126" s="134"/>
      <c r="U126" s="134"/>
      <c r="V126" s="134"/>
      <c r="W126" s="134"/>
      <c r="X126" s="90"/>
      <c r="Y126" s="90"/>
      <c r="Z126" s="99" t="e">
        <f>#REF!+#REF!+#REF!+#REF!+#REF!</f>
        <v>#REF!</v>
      </c>
      <c r="AA126" s="99" t="e">
        <f>#REF!+#REF!+#REF!+#REF!+#REF!</f>
        <v>#REF!</v>
      </c>
      <c r="AB126" s="99" t="e">
        <f>#REF!+#REF!+#REF!+#REF!+#REF!</f>
        <v>#REF!</v>
      </c>
      <c r="AC126" s="99" t="e">
        <f>#REF!+#REF!+#REF!+#REF!+#REF!</f>
        <v>#REF!</v>
      </c>
      <c r="AD126" s="99" t="e">
        <f>#REF!+#REF!+#REF!+#REF!+#REF!</f>
        <v>#REF!</v>
      </c>
      <c r="AE126" s="99" t="e">
        <f>#REF!+#REF!+#REF!+#REF!+#REF!</f>
        <v>#REF!</v>
      </c>
      <c r="AF126" s="99" t="e">
        <f>#REF!+#REF!+#REF!+#REF!+#REF!</f>
        <v>#REF!</v>
      </c>
      <c r="AG126" s="99" t="e">
        <f>#REF!+#REF!+#REF!+#REF!+#REF!</f>
        <v>#REF!</v>
      </c>
      <c r="AH126" s="99" t="e">
        <f>#REF!+#REF!+#REF!+#REF!+#REF!</f>
        <v>#REF!</v>
      </c>
      <c r="AI126" s="99" t="e">
        <f>#REF!+#REF!+#REF!+#REF!+#REF!</f>
        <v>#REF!</v>
      </c>
      <c r="AJ126" s="99" t="e">
        <f>#REF!+#REF!+#REF!+#REF!+#REF!</f>
        <v>#REF!</v>
      </c>
      <c r="AK126" s="99" t="e">
        <f>#REF!+#REF!+#REF!+#REF!+#REF!</f>
        <v>#REF!</v>
      </c>
      <c r="AL126" s="99" t="e">
        <f>#REF!+#REF!+#REF!+#REF!+#REF!</f>
        <v>#REF!</v>
      </c>
      <c r="AM126" s="99" t="e">
        <f>#REF!+#REF!+#REF!+#REF!+#REF!</f>
        <v>#REF!</v>
      </c>
      <c r="AN126" s="99" t="e">
        <f>#REF!+#REF!+#REF!+#REF!+#REF!</f>
        <v>#REF!</v>
      </c>
      <c r="AO126" s="99" t="e">
        <f>#REF!+#REF!+#REF!+#REF!+#REF!</f>
        <v>#REF!</v>
      </c>
      <c r="AP126" s="99" t="e">
        <f>#REF!+#REF!+#REF!+#REF!+#REF!</f>
        <v>#REF!</v>
      </c>
      <c r="AQ126" s="90"/>
      <c r="AR126" s="34"/>
      <c r="AS126" s="882"/>
      <c r="AT126" s="34"/>
      <c r="AU126" s="91"/>
      <c r="AV126" s="600"/>
      <c r="AW126" s="840"/>
      <c r="AX126" s="840"/>
      <c r="AY126" s="840"/>
      <c r="AZ126" s="840"/>
      <c r="BA126" s="529"/>
      <c r="BB126" s="600"/>
      <c r="BC126" s="600"/>
      <c r="BD126" s="600"/>
      <c r="BE126" s="529"/>
      <c r="BF126" s="529"/>
      <c r="BG126" s="529"/>
      <c r="BH126" s="873"/>
      <c r="BI126" s="600"/>
      <c r="BJ126" s="201"/>
      <c r="BK126" s="201"/>
      <c r="BN126" s="7"/>
    </row>
    <row r="127" s="9" customFormat="1" ht="90" customHeight="1" spans="1:66">
      <c r="A127" s="23">
        <f>SUBTOTAL(3,C$9:C127)</f>
        <v>112</v>
      </c>
      <c r="B127" s="60" t="s">
        <v>1385</v>
      </c>
      <c r="C127" s="23" t="s">
        <v>79</v>
      </c>
      <c r="D127" s="88" t="s">
        <v>1386</v>
      </c>
      <c r="E127" s="23" t="s">
        <v>81</v>
      </c>
      <c r="F127" s="67">
        <v>47456</v>
      </c>
      <c r="G127" s="67"/>
      <c r="H127" s="83" t="s">
        <v>122</v>
      </c>
      <c r="I127" s="83"/>
      <c r="J127" s="578">
        <v>500</v>
      </c>
      <c r="K127" s="578">
        <v>2000</v>
      </c>
      <c r="L127" s="67">
        <v>5000</v>
      </c>
      <c r="M127" s="67"/>
      <c r="N127" s="123" t="s">
        <v>1387</v>
      </c>
      <c r="O127" s="133"/>
      <c r="P127" s="134"/>
      <c r="Q127" s="134"/>
      <c r="R127" s="134"/>
      <c r="S127" s="134"/>
      <c r="T127" s="134"/>
      <c r="U127" s="134"/>
      <c r="V127" s="134"/>
      <c r="W127" s="134"/>
      <c r="X127" s="90"/>
      <c r="Y127" s="90"/>
      <c r="Z127" s="132">
        <v>265</v>
      </c>
      <c r="AA127" s="132"/>
      <c r="AB127" s="132">
        <v>265</v>
      </c>
      <c r="AC127" s="132"/>
      <c r="AD127" s="132"/>
      <c r="AE127" s="132"/>
      <c r="AF127" s="132"/>
      <c r="AG127" s="132"/>
      <c r="AH127" s="132"/>
      <c r="AI127" s="132"/>
      <c r="AJ127" s="132"/>
      <c r="AK127" s="595"/>
      <c r="AL127" s="595"/>
      <c r="AM127" s="770"/>
      <c r="AN127" s="770"/>
      <c r="AO127" s="770"/>
      <c r="AP127" s="132">
        <v>3000</v>
      </c>
      <c r="AQ127" s="90"/>
      <c r="AR127" s="112" t="s">
        <v>203</v>
      </c>
      <c r="AS127" s="123" t="s">
        <v>1003</v>
      </c>
      <c r="AT127" s="123" t="s">
        <v>119</v>
      </c>
      <c r="AU127" s="93"/>
      <c r="AV127" s="600"/>
      <c r="AW127" s="840"/>
      <c r="AX127" s="840"/>
      <c r="AY127" s="840"/>
      <c r="AZ127" s="840"/>
      <c r="BA127" s="529"/>
      <c r="BB127" s="600"/>
      <c r="BC127" s="600"/>
      <c r="BD127" s="600"/>
      <c r="BE127" s="529"/>
      <c r="BF127" s="529"/>
      <c r="BG127" s="529"/>
      <c r="BH127" s="873"/>
      <c r="BI127" s="600"/>
      <c r="BJ127" s="201"/>
      <c r="BK127" s="201"/>
      <c r="BN127" s="7"/>
    </row>
    <row r="128" ht="80.1" customHeight="1" spans="1:47">
      <c r="A128" s="23">
        <f>SUBTOTAL(3,C$9:C128)</f>
        <v>113</v>
      </c>
      <c r="B128" s="55" t="s">
        <v>1388</v>
      </c>
      <c r="C128" s="35" t="s">
        <v>79</v>
      </c>
      <c r="D128" s="55" t="s">
        <v>1389</v>
      </c>
      <c r="E128" s="35" t="s">
        <v>81</v>
      </c>
      <c r="F128" s="35">
        <v>46977</v>
      </c>
      <c r="G128" s="134"/>
      <c r="H128" s="50" t="s">
        <v>113</v>
      </c>
      <c r="I128" s="50"/>
      <c r="J128" s="50"/>
      <c r="K128" s="578">
        <v>500</v>
      </c>
      <c r="L128" s="35">
        <v>5000</v>
      </c>
      <c r="M128" s="134"/>
      <c r="N128" s="34" t="s">
        <v>1390</v>
      </c>
      <c r="O128" s="133"/>
      <c r="P128" s="134"/>
      <c r="Q128" s="134"/>
      <c r="R128" s="134"/>
      <c r="S128" s="134"/>
      <c r="T128" s="134"/>
      <c r="U128" s="134"/>
      <c r="V128" s="134"/>
      <c r="W128" s="134"/>
      <c r="X128" s="90"/>
      <c r="Y128" s="90"/>
      <c r="Z128" s="251"/>
      <c r="AA128" s="251"/>
      <c r="AB128" s="251"/>
      <c r="AC128" s="251"/>
      <c r="AD128" s="251"/>
      <c r="AE128" s="251"/>
      <c r="AF128" s="251"/>
      <c r="AG128" s="251"/>
      <c r="AH128" s="251"/>
      <c r="AI128" s="251"/>
      <c r="AJ128" s="251"/>
      <c r="AK128" s="251"/>
      <c r="AL128" s="595"/>
      <c r="AM128" s="595"/>
      <c r="AN128" s="595"/>
      <c r="AO128" s="595"/>
      <c r="AP128" s="770"/>
      <c r="AQ128" s="90"/>
      <c r="AR128" s="66" t="s">
        <v>133</v>
      </c>
      <c r="AS128" s="66" t="s">
        <v>1003</v>
      </c>
      <c r="AT128" s="34" t="s">
        <v>119</v>
      </c>
      <c r="AU128" s="93"/>
    </row>
    <row r="129" s="9" customFormat="1" ht="95.25" customHeight="1" spans="1:66">
      <c r="A129" s="23">
        <f>SUBTOTAL(3,C$9:C129)</f>
        <v>114</v>
      </c>
      <c r="B129" s="55" t="s">
        <v>1391</v>
      </c>
      <c r="C129" s="35" t="s">
        <v>79</v>
      </c>
      <c r="D129" s="669" t="s">
        <v>1392</v>
      </c>
      <c r="E129" s="670" t="s">
        <v>81</v>
      </c>
      <c r="F129" s="67">
        <v>31715</v>
      </c>
      <c r="G129" s="67"/>
      <c r="H129" s="83" t="s">
        <v>122</v>
      </c>
      <c r="I129" s="83"/>
      <c r="J129" s="83"/>
      <c r="K129" s="578">
        <v>1000</v>
      </c>
      <c r="L129" s="67">
        <v>2000</v>
      </c>
      <c r="M129" s="67"/>
      <c r="N129" s="123" t="s">
        <v>1393</v>
      </c>
      <c r="O129" s="133"/>
      <c r="P129" s="134"/>
      <c r="Q129" s="134"/>
      <c r="R129" s="134"/>
      <c r="S129" s="134"/>
      <c r="T129" s="134"/>
      <c r="U129" s="134"/>
      <c r="V129" s="134"/>
      <c r="W129" s="134"/>
      <c r="X129" s="90"/>
      <c r="Y129" s="90"/>
      <c r="Z129" s="132"/>
      <c r="AA129" s="132"/>
      <c r="AB129" s="132"/>
      <c r="AC129" s="132"/>
      <c r="AD129" s="132"/>
      <c r="AE129" s="132"/>
      <c r="AF129" s="132"/>
      <c r="AG129" s="132"/>
      <c r="AH129" s="132"/>
      <c r="AI129" s="132"/>
      <c r="AJ129" s="132"/>
      <c r="AK129" s="595"/>
      <c r="AL129" s="595"/>
      <c r="AM129" s="595"/>
      <c r="AN129" s="595"/>
      <c r="AO129" s="595"/>
      <c r="AP129" s="132">
        <v>2000</v>
      </c>
      <c r="AQ129" s="90"/>
      <c r="AR129" s="112" t="s">
        <v>1394</v>
      </c>
      <c r="AS129" s="123" t="s">
        <v>1003</v>
      </c>
      <c r="AT129" s="123" t="s">
        <v>119</v>
      </c>
      <c r="AU129" s="93"/>
      <c r="AV129" s="600"/>
      <c r="AW129" s="840"/>
      <c r="AX129" s="840"/>
      <c r="AY129" s="840"/>
      <c r="AZ129" s="840"/>
      <c r="BA129" s="529"/>
      <c r="BB129" s="600"/>
      <c r="BC129" s="600"/>
      <c r="BD129" s="600"/>
      <c r="BE129" s="529"/>
      <c r="BF129" s="529"/>
      <c r="BG129" s="529"/>
      <c r="BH129" s="873"/>
      <c r="BI129" s="600"/>
      <c r="BJ129" s="201"/>
      <c r="BK129" s="201"/>
      <c r="BN129" s="7"/>
    </row>
    <row r="130" s="9" customFormat="1" ht="100.5" customHeight="1" spans="1:66">
      <c r="A130" s="23">
        <f>SUBTOTAL(3,C$9:C130)</f>
        <v>115</v>
      </c>
      <c r="B130" s="55" t="s">
        <v>1395</v>
      </c>
      <c r="C130" s="35" t="s">
        <v>562</v>
      </c>
      <c r="D130" s="55" t="s">
        <v>1396</v>
      </c>
      <c r="E130" s="35" t="s">
        <v>1049</v>
      </c>
      <c r="F130" s="38">
        <v>153289</v>
      </c>
      <c r="G130" s="38">
        <v>73012</v>
      </c>
      <c r="H130" s="134"/>
      <c r="I130" s="67"/>
      <c r="J130" s="67">
        <v>500</v>
      </c>
      <c r="K130" s="67">
        <v>1000</v>
      </c>
      <c r="L130" s="38">
        <v>2000</v>
      </c>
      <c r="M130" s="134"/>
      <c r="N130" s="123" t="s">
        <v>1397</v>
      </c>
      <c r="O130" s="133"/>
      <c r="P130" s="134"/>
      <c r="Q130" s="134"/>
      <c r="R130" s="134"/>
      <c r="S130" s="134"/>
      <c r="T130" s="134"/>
      <c r="U130" s="134"/>
      <c r="V130" s="134"/>
      <c r="W130" s="134"/>
      <c r="X130" s="90"/>
      <c r="Y130" s="90"/>
      <c r="Z130" s="132"/>
      <c r="AA130" s="132"/>
      <c r="AB130" s="132"/>
      <c r="AC130" s="132"/>
      <c r="AD130" s="132"/>
      <c r="AE130" s="132"/>
      <c r="AF130" s="132"/>
      <c r="AG130" s="132"/>
      <c r="AH130" s="132"/>
      <c r="AI130" s="132"/>
      <c r="AJ130" s="132"/>
      <c r="AK130" s="132"/>
      <c r="AL130" s="595"/>
      <c r="AM130" s="770"/>
      <c r="AN130" s="770"/>
      <c r="AO130" s="770"/>
      <c r="AP130" s="251">
        <v>2000</v>
      </c>
      <c r="AQ130" s="90"/>
      <c r="AR130" s="90" t="s">
        <v>1398</v>
      </c>
      <c r="AS130" s="34" t="s">
        <v>1003</v>
      </c>
      <c r="AT130" s="34" t="s">
        <v>119</v>
      </c>
      <c r="AU130" s="91"/>
      <c r="AV130" s="600"/>
      <c r="AW130" s="840"/>
      <c r="AX130" s="840"/>
      <c r="AY130" s="840"/>
      <c r="AZ130" s="840"/>
      <c r="BA130" s="529"/>
      <c r="BB130" s="600"/>
      <c r="BC130" s="600"/>
      <c r="BD130" s="600"/>
      <c r="BE130" s="529"/>
      <c r="BF130" s="529"/>
      <c r="BG130" s="529"/>
      <c r="BH130" s="873"/>
      <c r="BI130" s="600"/>
      <c r="BJ130" s="201"/>
      <c r="BK130" s="201"/>
      <c r="BN130" s="7"/>
    </row>
    <row r="131" s="9" customFormat="1" ht="105" customHeight="1" spans="1:66">
      <c r="A131" s="23">
        <f>SUBTOTAL(3,C$9:C131)</f>
        <v>116</v>
      </c>
      <c r="B131" s="60" t="s">
        <v>1399</v>
      </c>
      <c r="C131" s="23" t="s">
        <v>562</v>
      </c>
      <c r="D131" s="88" t="s">
        <v>1400</v>
      </c>
      <c r="E131" s="23" t="s">
        <v>575</v>
      </c>
      <c r="F131" s="67">
        <v>36935</v>
      </c>
      <c r="G131" s="67">
        <v>3825</v>
      </c>
      <c r="H131" s="134"/>
      <c r="I131" s="136">
        <v>3000</v>
      </c>
      <c r="J131" s="136">
        <v>7000</v>
      </c>
      <c r="K131" s="136">
        <v>11000</v>
      </c>
      <c r="L131" s="67">
        <v>15000</v>
      </c>
      <c r="M131" s="134"/>
      <c r="N131" s="244" t="s">
        <v>1401</v>
      </c>
      <c r="O131" s="133"/>
      <c r="P131" s="134"/>
      <c r="Q131" s="134"/>
      <c r="R131" s="134"/>
      <c r="S131" s="134"/>
      <c r="T131" s="134"/>
      <c r="U131" s="134"/>
      <c r="V131" s="134"/>
      <c r="W131" s="134"/>
      <c r="X131" s="90"/>
      <c r="Y131" s="90"/>
      <c r="Z131" s="132">
        <v>523</v>
      </c>
      <c r="AA131" s="132">
        <v>523</v>
      </c>
      <c r="AB131" s="132"/>
      <c r="AC131" s="132"/>
      <c r="AD131" s="132"/>
      <c r="AE131" s="132"/>
      <c r="AF131" s="132">
        <v>2.8</v>
      </c>
      <c r="AG131" s="132"/>
      <c r="AH131" s="132">
        <v>2.8</v>
      </c>
      <c r="AI131" s="132">
        <v>186</v>
      </c>
      <c r="AJ131" s="132">
        <v>152</v>
      </c>
      <c r="AK131" s="132">
        <v>34</v>
      </c>
      <c r="AL131" s="595"/>
      <c r="AM131" s="595"/>
      <c r="AN131" s="595"/>
      <c r="AO131" s="251">
        <v>8000</v>
      </c>
      <c r="AP131" s="251">
        <v>7000</v>
      </c>
      <c r="AQ131" s="90"/>
      <c r="AR131" s="90" t="s">
        <v>1402</v>
      </c>
      <c r="AS131" s="34" t="s">
        <v>1003</v>
      </c>
      <c r="AT131" s="34" t="s">
        <v>119</v>
      </c>
      <c r="AU131" s="91"/>
      <c r="AV131" s="600"/>
      <c r="AW131" s="840"/>
      <c r="AX131" s="840"/>
      <c r="AY131" s="840"/>
      <c r="AZ131" s="840"/>
      <c r="BA131" s="529"/>
      <c r="BB131" s="600"/>
      <c r="BC131" s="600"/>
      <c r="BD131" s="600"/>
      <c r="BE131" s="529"/>
      <c r="BF131" s="529"/>
      <c r="BG131" s="529"/>
      <c r="BH131" s="873"/>
      <c r="BI131" s="600"/>
      <c r="BJ131" s="201"/>
      <c r="BK131" s="201"/>
      <c r="BN131" s="7"/>
    </row>
    <row r="132" s="9" customFormat="1" ht="80.1" customHeight="1" spans="1:66">
      <c r="A132" s="23">
        <f>SUBTOTAL(3,C$9:C132)</f>
        <v>117</v>
      </c>
      <c r="B132" s="55" t="s">
        <v>1403</v>
      </c>
      <c r="C132" s="35" t="s">
        <v>562</v>
      </c>
      <c r="D132" s="55" t="s">
        <v>1404</v>
      </c>
      <c r="E132" s="35" t="s">
        <v>575</v>
      </c>
      <c r="F132" s="38">
        <v>23679</v>
      </c>
      <c r="G132" s="38">
        <v>2600</v>
      </c>
      <c r="H132" s="134"/>
      <c r="I132" s="36">
        <v>500</v>
      </c>
      <c r="J132" s="36">
        <v>2000</v>
      </c>
      <c r="K132" s="36">
        <v>3500</v>
      </c>
      <c r="L132" s="38">
        <v>5000</v>
      </c>
      <c r="M132" s="134"/>
      <c r="N132" s="112" t="s">
        <v>1405</v>
      </c>
      <c r="O132" s="133"/>
      <c r="P132" s="134"/>
      <c r="Q132" s="134"/>
      <c r="R132" s="134"/>
      <c r="S132" s="134"/>
      <c r="T132" s="134"/>
      <c r="U132" s="134"/>
      <c r="V132" s="134"/>
      <c r="W132" s="134"/>
      <c r="X132" s="90"/>
      <c r="Y132" s="90"/>
      <c r="Z132" s="132"/>
      <c r="AA132" s="132"/>
      <c r="AB132" s="132"/>
      <c r="AC132" s="132"/>
      <c r="AD132" s="132"/>
      <c r="AE132" s="132"/>
      <c r="AF132" s="132"/>
      <c r="AG132" s="132"/>
      <c r="AH132" s="132"/>
      <c r="AI132" s="132">
        <v>70</v>
      </c>
      <c r="AJ132" s="132"/>
      <c r="AK132" s="132">
        <v>70</v>
      </c>
      <c r="AL132" s="595"/>
      <c r="AM132" s="595"/>
      <c r="AN132" s="595"/>
      <c r="AO132" s="595"/>
      <c r="AP132" s="251">
        <v>5000</v>
      </c>
      <c r="AQ132" s="90"/>
      <c r="AR132" s="90" t="s">
        <v>1406</v>
      </c>
      <c r="AS132" s="34" t="s">
        <v>1003</v>
      </c>
      <c r="AT132" s="34" t="s">
        <v>119</v>
      </c>
      <c r="AU132" s="91"/>
      <c r="AV132" s="600"/>
      <c r="AW132" s="840"/>
      <c r="AX132" s="840"/>
      <c r="AY132" s="840"/>
      <c r="AZ132" s="840"/>
      <c r="BA132" s="529"/>
      <c r="BB132" s="600"/>
      <c r="BC132" s="600"/>
      <c r="BD132" s="600"/>
      <c r="BE132" s="529"/>
      <c r="BF132" s="529"/>
      <c r="BG132" s="529"/>
      <c r="BH132" s="873"/>
      <c r="BI132" s="600"/>
      <c r="BJ132" s="201"/>
      <c r="BK132" s="201"/>
      <c r="BN132" s="7"/>
    </row>
    <row r="133" s="9" customFormat="1" ht="69.95" customHeight="1" spans="1:66">
      <c r="A133" s="23">
        <f>SUBTOTAL(3,C$9:C133)</f>
        <v>118</v>
      </c>
      <c r="B133" s="55" t="s">
        <v>1407</v>
      </c>
      <c r="C133" s="23" t="s">
        <v>810</v>
      </c>
      <c r="D133" s="58" t="s">
        <v>1408</v>
      </c>
      <c r="E133" s="35" t="s">
        <v>1409</v>
      </c>
      <c r="F133" s="67">
        <v>103800</v>
      </c>
      <c r="G133" s="67">
        <v>94017</v>
      </c>
      <c r="H133" s="81" t="s">
        <v>209</v>
      </c>
      <c r="I133" s="37">
        <v>2000</v>
      </c>
      <c r="J133" s="37">
        <v>5000</v>
      </c>
      <c r="K133" s="37">
        <v>9783</v>
      </c>
      <c r="L133" s="67">
        <v>9783</v>
      </c>
      <c r="M133" s="134"/>
      <c r="N133" s="123" t="s">
        <v>971</v>
      </c>
      <c r="O133" s="133"/>
      <c r="P133" s="134"/>
      <c r="Q133" s="134"/>
      <c r="R133" s="134"/>
      <c r="S133" s="134"/>
      <c r="T133" s="134"/>
      <c r="U133" s="134"/>
      <c r="V133" s="134"/>
      <c r="W133" s="134"/>
      <c r="X133" s="90"/>
      <c r="Y133" s="90"/>
      <c r="Z133" s="132">
        <v>617.2425</v>
      </c>
      <c r="AA133" s="132">
        <v>617</v>
      </c>
      <c r="AB133" s="132"/>
      <c r="AC133" s="132"/>
      <c r="AD133" s="132"/>
      <c r="AE133" s="132"/>
      <c r="AF133" s="132"/>
      <c r="AG133" s="132"/>
      <c r="AH133" s="132"/>
      <c r="AI133" s="132"/>
      <c r="AJ133" s="132"/>
      <c r="AK133" s="132"/>
      <c r="AL133" s="595"/>
      <c r="AM133" s="595"/>
      <c r="AN133" s="595"/>
      <c r="AO133" s="251">
        <v>2000</v>
      </c>
      <c r="AP133" s="76"/>
      <c r="AQ133" s="90"/>
      <c r="AR133" s="112" t="s">
        <v>117</v>
      </c>
      <c r="AS133" s="34" t="s">
        <v>1003</v>
      </c>
      <c r="AT133" s="34" t="s">
        <v>119</v>
      </c>
      <c r="AU133" s="91"/>
      <c r="AV133" s="600"/>
      <c r="AW133" s="840"/>
      <c r="AX133" s="840"/>
      <c r="AY133" s="840"/>
      <c r="AZ133" s="840"/>
      <c r="BA133" s="529"/>
      <c r="BB133" s="600"/>
      <c r="BC133" s="600"/>
      <c r="BD133" s="600"/>
      <c r="BE133" s="529"/>
      <c r="BF133" s="529"/>
      <c r="BG133" s="529"/>
      <c r="BH133" s="873"/>
      <c r="BI133" s="600"/>
      <c r="BJ133" s="201"/>
      <c r="BK133" s="201"/>
      <c r="BN133" s="7"/>
    </row>
    <row r="134" s="9" customFormat="1" ht="80.1" customHeight="1" spans="1:66">
      <c r="A134" s="23">
        <f>SUBTOTAL(3,C$9:C134)</f>
        <v>119</v>
      </c>
      <c r="B134" s="60" t="s">
        <v>1410</v>
      </c>
      <c r="C134" s="23" t="s">
        <v>810</v>
      </c>
      <c r="D134" s="66" t="s">
        <v>1411</v>
      </c>
      <c r="E134" s="23" t="s">
        <v>812</v>
      </c>
      <c r="F134" s="67">
        <v>13046.086</v>
      </c>
      <c r="G134" s="67">
        <v>10010</v>
      </c>
      <c r="H134" s="81" t="s">
        <v>131</v>
      </c>
      <c r="I134" s="37">
        <v>500</v>
      </c>
      <c r="J134" s="37">
        <v>1000</v>
      </c>
      <c r="K134" s="37">
        <v>2000</v>
      </c>
      <c r="L134" s="67">
        <v>3036.086</v>
      </c>
      <c r="M134" s="134"/>
      <c r="N134" s="123" t="s">
        <v>971</v>
      </c>
      <c r="O134" s="133"/>
      <c r="P134" s="134"/>
      <c r="Q134" s="134"/>
      <c r="R134" s="134"/>
      <c r="S134" s="134"/>
      <c r="T134" s="134"/>
      <c r="U134" s="134"/>
      <c r="V134" s="134"/>
      <c r="W134" s="134"/>
      <c r="X134" s="90"/>
      <c r="Y134" s="90"/>
      <c r="Z134" s="132"/>
      <c r="AA134" s="132"/>
      <c r="AB134" s="132"/>
      <c r="AC134" s="132"/>
      <c r="AD134" s="132"/>
      <c r="AE134" s="132"/>
      <c r="AF134" s="132"/>
      <c r="AG134" s="132"/>
      <c r="AH134" s="132"/>
      <c r="AI134" s="132"/>
      <c r="AJ134" s="132"/>
      <c r="AK134" s="132"/>
      <c r="AL134" s="595"/>
      <c r="AM134" s="595"/>
      <c r="AN134" s="595"/>
      <c r="AO134" s="595"/>
      <c r="AP134" s="251">
        <v>8600</v>
      </c>
      <c r="AQ134" s="90"/>
      <c r="AR134" s="112" t="s">
        <v>1412</v>
      </c>
      <c r="AS134" s="123" t="s">
        <v>1003</v>
      </c>
      <c r="AT134" s="123" t="s">
        <v>119</v>
      </c>
      <c r="AU134" s="91"/>
      <c r="AV134" s="600"/>
      <c r="AW134" s="840"/>
      <c r="AX134" s="840"/>
      <c r="AY134" s="840"/>
      <c r="AZ134" s="840"/>
      <c r="BA134" s="529"/>
      <c r="BB134" s="600"/>
      <c r="BC134" s="600"/>
      <c r="BD134" s="600"/>
      <c r="BE134" s="529"/>
      <c r="BF134" s="529"/>
      <c r="BG134" s="529"/>
      <c r="BH134" s="873"/>
      <c r="BI134" s="600"/>
      <c r="BJ134" s="201"/>
      <c r="BK134" s="201"/>
      <c r="BN134" s="7"/>
    </row>
    <row r="135" s="9" customFormat="1" ht="80.1" customHeight="1" spans="1:66">
      <c r="A135" s="23">
        <f>SUBTOTAL(3,C$9:C135)</f>
        <v>120</v>
      </c>
      <c r="B135" s="55" t="s">
        <v>1413</v>
      </c>
      <c r="C135" s="35" t="s">
        <v>79</v>
      </c>
      <c r="D135" s="55" t="s">
        <v>1414</v>
      </c>
      <c r="E135" s="35" t="s">
        <v>81</v>
      </c>
      <c r="F135" s="36">
        <v>42759</v>
      </c>
      <c r="G135" s="36"/>
      <c r="H135" s="37" t="s">
        <v>209</v>
      </c>
      <c r="I135" s="83"/>
      <c r="J135" s="83"/>
      <c r="K135" s="578">
        <v>1500</v>
      </c>
      <c r="L135" s="36">
        <v>3500</v>
      </c>
      <c r="M135" s="36"/>
      <c r="N135" s="112" t="s">
        <v>1415</v>
      </c>
      <c r="O135" s="133"/>
      <c r="P135" s="134"/>
      <c r="Q135" s="134"/>
      <c r="R135" s="134"/>
      <c r="S135" s="134"/>
      <c r="T135" s="134"/>
      <c r="U135" s="134"/>
      <c r="V135" s="134"/>
      <c r="W135" s="134"/>
      <c r="X135" s="90"/>
      <c r="Y135" s="90"/>
      <c r="Z135" s="132">
        <v>198.99</v>
      </c>
      <c r="AA135" s="132">
        <v>198.99</v>
      </c>
      <c r="AB135" s="132"/>
      <c r="AC135" s="132">
        <v>198.99</v>
      </c>
      <c r="AD135" s="132">
        <v>198.99</v>
      </c>
      <c r="AE135" s="132"/>
      <c r="AF135" s="132"/>
      <c r="AG135" s="132"/>
      <c r="AH135" s="132"/>
      <c r="AI135" s="132">
        <v>2</v>
      </c>
      <c r="AJ135" s="132">
        <v>1</v>
      </c>
      <c r="AK135" s="595"/>
      <c r="AL135" s="595"/>
      <c r="AM135" s="595"/>
      <c r="AN135" s="595"/>
      <c r="AO135" s="595"/>
      <c r="AP135" s="595"/>
      <c r="AQ135" s="90"/>
      <c r="AR135" s="112" t="s">
        <v>203</v>
      </c>
      <c r="AS135" s="34" t="s">
        <v>1416</v>
      </c>
      <c r="AT135" s="131" t="s">
        <v>185</v>
      </c>
      <c r="AU135" s="171"/>
      <c r="AV135" s="600"/>
      <c r="AW135" s="840"/>
      <c r="AX135" s="840"/>
      <c r="AY135" s="840"/>
      <c r="AZ135" s="840"/>
      <c r="BA135" s="529"/>
      <c r="BB135" s="600"/>
      <c r="BC135" s="600"/>
      <c r="BD135" s="600"/>
      <c r="BE135" s="529"/>
      <c r="BF135" s="529"/>
      <c r="BG135" s="529"/>
      <c r="BH135" s="873"/>
      <c r="BI135" s="600"/>
      <c r="BJ135" s="201"/>
      <c r="BK135" s="201"/>
      <c r="BN135" s="7"/>
    </row>
    <row r="136" s="9" customFormat="1" ht="80.1" customHeight="1" spans="1:66">
      <c r="A136" s="23">
        <f>SUBTOTAL(3,C$9:C136)</f>
        <v>121</v>
      </c>
      <c r="B136" s="55" t="s">
        <v>1417</v>
      </c>
      <c r="C136" s="35" t="s">
        <v>79</v>
      </c>
      <c r="D136" s="55" t="s">
        <v>1418</v>
      </c>
      <c r="E136" s="35" t="s">
        <v>112</v>
      </c>
      <c r="F136" s="38">
        <v>25218</v>
      </c>
      <c r="G136" s="38"/>
      <c r="H136" s="81" t="s">
        <v>177</v>
      </c>
      <c r="I136" s="81"/>
      <c r="J136" s="37"/>
      <c r="K136" s="37">
        <v>5000</v>
      </c>
      <c r="L136" s="38">
        <v>10000</v>
      </c>
      <c r="M136" s="38"/>
      <c r="N136" s="112" t="s">
        <v>1419</v>
      </c>
      <c r="O136" s="133"/>
      <c r="P136" s="134"/>
      <c r="Q136" s="134"/>
      <c r="R136" s="134"/>
      <c r="S136" s="134"/>
      <c r="T136" s="134"/>
      <c r="U136" s="134"/>
      <c r="V136" s="134"/>
      <c r="W136" s="134"/>
      <c r="X136" s="90"/>
      <c r="Y136" s="90"/>
      <c r="Z136" s="132">
        <v>198.99</v>
      </c>
      <c r="AA136" s="132">
        <v>198.99</v>
      </c>
      <c r="AB136" s="132"/>
      <c r="AC136" s="132">
        <v>198.99</v>
      </c>
      <c r="AD136" s="132">
        <v>198.99</v>
      </c>
      <c r="AE136" s="132"/>
      <c r="AF136" s="132"/>
      <c r="AG136" s="132"/>
      <c r="AH136" s="132"/>
      <c r="AI136" s="132">
        <v>2</v>
      </c>
      <c r="AJ136" s="132">
        <v>1</v>
      </c>
      <c r="AK136" s="595"/>
      <c r="AL136" s="595"/>
      <c r="AM136" s="595"/>
      <c r="AN136" s="595"/>
      <c r="AO136" s="551">
        <v>7040</v>
      </c>
      <c r="AP136" s="551">
        <v>2960</v>
      </c>
      <c r="AQ136" s="90"/>
      <c r="AR136" s="34" t="s">
        <v>1420</v>
      </c>
      <c r="AS136" s="34" t="s">
        <v>1416</v>
      </c>
      <c r="AT136" s="131" t="s">
        <v>185</v>
      </c>
      <c r="AU136" s="171"/>
      <c r="AV136" s="600"/>
      <c r="AW136" s="840"/>
      <c r="AX136" s="840"/>
      <c r="AY136" s="840"/>
      <c r="AZ136" s="840"/>
      <c r="BA136" s="529"/>
      <c r="BB136" s="600"/>
      <c r="BC136" s="600"/>
      <c r="BD136" s="600"/>
      <c r="BE136" s="529"/>
      <c r="BF136" s="529"/>
      <c r="BG136" s="529"/>
      <c r="BH136" s="873"/>
      <c r="BI136" s="600"/>
      <c r="BJ136" s="201"/>
      <c r="BK136" s="201"/>
      <c r="BN136" s="7"/>
    </row>
    <row r="137" s="9" customFormat="1" ht="80.1" customHeight="1" spans="1:66">
      <c r="A137" s="23">
        <f>SUBTOTAL(3,C$9:C137)</f>
        <v>122</v>
      </c>
      <c r="B137" s="55" t="s">
        <v>1421</v>
      </c>
      <c r="C137" s="35" t="s">
        <v>79</v>
      </c>
      <c r="D137" s="55" t="s">
        <v>1422</v>
      </c>
      <c r="E137" s="35" t="s">
        <v>112</v>
      </c>
      <c r="F137" s="38">
        <v>14432</v>
      </c>
      <c r="G137" s="38"/>
      <c r="H137" s="81" t="s">
        <v>144</v>
      </c>
      <c r="I137" s="81"/>
      <c r="J137" s="76">
        <v>200</v>
      </c>
      <c r="K137" s="76">
        <v>1000</v>
      </c>
      <c r="L137" s="38">
        <v>3000</v>
      </c>
      <c r="M137" s="38"/>
      <c r="N137" s="112" t="s">
        <v>1419</v>
      </c>
      <c r="O137" s="133"/>
      <c r="P137" s="134"/>
      <c r="Q137" s="134"/>
      <c r="R137" s="134"/>
      <c r="S137" s="134"/>
      <c r="T137" s="134"/>
      <c r="U137" s="134"/>
      <c r="V137" s="134"/>
      <c r="W137" s="134"/>
      <c r="X137" s="90"/>
      <c r="Y137" s="90"/>
      <c r="Z137" s="132">
        <v>77.4</v>
      </c>
      <c r="AA137" s="132">
        <v>77.4</v>
      </c>
      <c r="AB137" s="132"/>
      <c r="AC137" s="132">
        <v>77.4</v>
      </c>
      <c r="AD137" s="132">
        <v>77.4</v>
      </c>
      <c r="AE137" s="132"/>
      <c r="AF137" s="132"/>
      <c r="AG137" s="132"/>
      <c r="AH137" s="132"/>
      <c r="AI137" s="132">
        <v>2</v>
      </c>
      <c r="AJ137" s="132">
        <v>1</v>
      </c>
      <c r="AK137" s="595"/>
      <c r="AL137" s="595"/>
      <c r="AM137" s="595"/>
      <c r="AN137" s="595"/>
      <c r="AO137" s="551">
        <v>1541</v>
      </c>
      <c r="AP137" s="551">
        <v>1459</v>
      </c>
      <c r="AQ137" s="90"/>
      <c r="AR137" s="112" t="s">
        <v>203</v>
      </c>
      <c r="AS137" s="34" t="s">
        <v>1416</v>
      </c>
      <c r="AT137" s="131" t="s">
        <v>185</v>
      </c>
      <c r="AU137" s="171"/>
      <c r="AV137" s="600"/>
      <c r="AW137" s="840"/>
      <c r="AX137" s="840"/>
      <c r="AY137" s="840"/>
      <c r="AZ137" s="840"/>
      <c r="BA137" s="529"/>
      <c r="BB137" s="600"/>
      <c r="BC137" s="600"/>
      <c r="BD137" s="600"/>
      <c r="BE137" s="529"/>
      <c r="BF137" s="529"/>
      <c r="BG137" s="529"/>
      <c r="BH137" s="873"/>
      <c r="BI137" s="600"/>
      <c r="BJ137" s="201"/>
      <c r="BK137" s="201"/>
      <c r="BN137" s="7"/>
    </row>
    <row r="138" s="9" customFormat="1" ht="80.1" customHeight="1" spans="1:66">
      <c r="A138" s="23">
        <f>SUBTOTAL(3,C$9:C138)</f>
        <v>123</v>
      </c>
      <c r="B138" s="55" t="s">
        <v>1423</v>
      </c>
      <c r="C138" s="35" t="s">
        <v>79</v>
      </c>
      <c r="D138" s="55" t="s">
        <v>1424</v>
      </c>
      <c r="E138" s="35" t="s">
        <v>112</v>
      </c>
      <c r="F138" s="38">
        <v>7651</v>
      </c>
      <c r="G138" s="38"/>
      <c r="H138" s="81" t="s">
        <v>177</v>
      </c>
      <c r="I138" s="81"/>
      <c r="J138" s="37"/>
      <c r="K138" s="76">
        <v>1500</v>
      </c>
      <c r="L138" s="38">
        <v>3000</v>
      </c>
      <c r="M138" s="38"/>
      <c r="N138" s="112" t="s">
        <v>1425</v>
      </c>
      <c r="O138" s="133"/>
      <c r="P138" s="134"/>
      <c r="Q138" s="134"/>
      <c r="R138" s="134"/>
      <c r="S138" s="134"/>
      <c r="T138" s="134"/>
      <c r="U138" s="134"/>
      <c r="V138" s="134"/>
      <c r="W138" s="134"/>
      <c r="X138" s="90"/>
      <c r="Y138" s="90"/>
      <c r="Z138" s="132">
        <v>48.2</v>
      </c>
      <c r="AA138" s="132">
        <v>48.2</v>
      </c>
      <c r="AB138" s="132"/>
      <c r="AC138" s="132">
        <v>48.2</v>
      </c>
      <c r="AD138" s="132">
        <v>48.2</v>
      </c>
      <c r="AE138" s="132"/>
      <c r="AF138" s="132"/>
      <c r="AG138" s="132"/>
      <c r="AH138" s="132"/>
      <c r="AI138" s="132">
        <v>2</v>
      </c>
      <c r="AJ138" s="132">
        <v>1</v>
      </c>
      <c r="AK138" s="595"/>
      <c r="AL138" s="595"/>
      <c r="AM138" s="595"/>
      <c r="AN138" s="595"/>
      <c r="AO138" s="551">
        <v>1925</v>
      </c>
      <c r="AP138" s="551">
        <v>1590</v>
      </c>
      <c r="AQ138" s="90"/>
      <c r="AR138" s="112" t="s">
        <v>203</v>
      </c>
      <c r="AS138" s="34" t="s">
        <v>1416</v>
      </c>
      <c r="AT138" s="131" t="s">
        <v>185</v>
      </c>
      <c r="AU138" s="171"/>
      <c r="AV138" s="600"/>
      <c r="AW138" s="840"/>
      <c r="AX138" s="840"/>
      <c r="AY138" s="840"/>
      <c r="AZ138" s="840"/>
      <c r="BA138" s="529"/>
      <c r="BB138" s="600"/>
      <c r="BC138" s="600"/>
      <c r="BD138" s="600"/>
      <c r="BE138" s="529"/>
      <c r="BF138" s="529"/>
      <c r="BG138" s="529"/>
      <c r="BH138" s="873"/>
      <c r="BI138" s="600"/>
      <c r="BJ138" s="201"/>
      <c r="BK138" s="201"/>
      <c r="BN138" s="7"/>
    </row>
    <row r="139" s="9" customFormat="1" ht="80.1" customHeight="1" spans="1:66">
      <c r="A139" s="23">
        <f>SUBTOTAL(3,C$9:C139)</f>
        <v>124</v>
      </c>
      <c r="B139" s="55" t="s">
        <v>1426</v>
      </c>
      <c r="C139" s="35" t="s">
        <v>79</v>
      </c>
      <c r="D139" s="55" t="s">
        <v>1427</v>
      </c>
      <c r="E139" s="35">
        <v>2019</v>
      </c>
      <c r="F139" s="35">
        <v>1500</v>
      </c>
      <c r="G139" s="35"/>
      <c r="H139" s="37" t="s">
        <v>195</v>
      </c>
      <c r="I139" s="37">
        <v>200</v>
      </c>
      <c r="J139" s="37">
        <v>700</v>
      </c>
      <c r="K139" s="37">
        <v>1200</v>
      </c>
      <c r="L139" s="35">
        <v>1500</v>
      </c>
      <c r="M139" s="35"/>
      <c r="N139" s="112" t="s">
        <v>1428</v>
      </c>
      <c r="O139" s="133"/>
      <c r="P139" s="134"/>
      <c r="Q139" s="134"/>
      <c r="R139" s="134"/>
      <c r="S139" s="134"/>
      <c r="T139" s="134"/>
      <c r="U139" s="134"/>
      <c r="V139" s="134"/>
      <c r="W139" s="134"/>
      <c r="X139" s="90"/>
      <c r="Y139" s="90"/>
      <c r="Z139" s="132">
        <v>48.2</v>
      </c>
      <c r="AA139" s="132">
        <v>48.2</v>
      </c>
      <c r="AB139" s="132"/>
      <c r="AC139" s="132">
        <v>48.2</v>
      </c>
      <c r="AD139" s="132">
        <v>48.2</v>
      </c>
      <c r="AE139" s="132"/>
      <c r="AF139" s="132"/>
      <c r="AG139" s="132"/>
      <c r="AH139" s="132"/>
      <c r="AI139" s="132">
        <v>2</v>
      </c>
      <c r="AJ139" s="132">
        <v>1</v>
      </c>
      <c r="AK139" s="595"/>
      <c r="AL139" s="595"/>
      <c r="AM139" s="595"/>
      <c r="AN139" s="595"/>
      <c r="AO139" s="132">
        <v>311</v>
      </c>
      <c r="AP139" s="132">
        <v>1189</v>
      </c>
      <c r="AQ139" s="90"/>
      <c r="AR139" s="112" t="s">
        <v>117</v>
      </c>
      <c r="AS139" s="595" t="s">
        <v>591</v>
      </c>
      <c r="AT139" s="131" t="s">
        <v>185</v>
      </c>
      <c r="AU139" s="171"/>
      <c r="AV139" s="600"/>
      <c r="AW139" s="840"/>
      <c r="AX139" s="840"/>
      <c r="AY139" s="840"/>
      <c r="AZ139" s="840"/>
      <c r="BA139" s="529"/>
      <c r="BB139" s="600"/>
      <c r="BC139" s="600"/>
      <c r="BD139" s="600"/>
      <c r="BE139" s="529"/>
      <c r="BF139" s="529"/>
      <c r="BG139" s="529"/>
      <c r="BH139" s="873"/>
      <c r="BI139" s="600"/>
      <c r="BJ139" s="201"/>
      <c r="BK139" s="201"/>
      <c r="BN139" s="7"/>
    </row>
    <row r="140" s="9" customFormat="1" ht="80.1" customHeight="1" spans="1:66">
      <c r="A140" s="23">
        <f>SUBTOTAL(3,C$9:C140)</f>
        <v>125</v>
      </c>
      <c r="B140" s="55" t="s">
        <v>1429</v>
      </c>
      <c r="C140" s="35" t="s">
        <v>562</v>
      </c>
      <c r="D140" s="88" t="s">
        <v>1430</v>
      </c>
      <c r="E140" s="35" t="s">
        <v>632</v>
      </c>
      <c r="F140" s="35">
        <v>456800</v>
      </c>
      <c r="G140" s="38">
        <v>17000</v>
      </c>
      <c r="H140" s="134"/>
      <c r="I140" s="859">
        <v>8000</v>
      </c>
      <c r="J140" s="859">
        <v>15000</v>
      </c>
      <c r="K140" s="859">
        <v>28000</v>
      </c>
      <c r="L140" s="859">
        <v>40000</v>
      </c>
      <c r="M140" s="134"/>
      <c r="N140" s="123" t="s">
        <v>1431</v>
      </c>
      <c r="O140" s="133"/>
      <c r="P140" s="134"/>
      <c r="Q140" s="134"/>
      <c r="R140" s="134"/>
      <c r="S140" s="134"/>
      <c r="T140" s="134"/>
      <c r="U140" s="134"/>
      <c r="V140" s="134"/>
      <c r="W140" s="134"/>
      <c r="X140" s="90"/>
      <c r="Y140" s="90"/>
      <c r="Z140" s="861">
        <v>1538</v>
      </c>
      <c r="AA140" s="861">
        <v>1538</v>
      </c>
      <c r="AB140" s="861"/>
      <c r="AC140" s="861"/>
      <c r="AD140" s="861"/>
      <c r="AE140" s="861"/>
      <c r="AF140" s="861"/>
      <c r="AG140" s="861"/>
      <c r="AH140" s="861"/>
      <c r="AI140" s="861"/>
      <c r="AJ140" s="861"/>
      <c r="AK140" s="861"/>
      <c r="AL140" s="595"/>
      <c r="AM140" s="595"/>
      <c r="AN140" s="595"/>
      <c r="AO140" s="595"/>
      <c r="AP140" s="863">
        <v>40000</v>
      </c>
      <c r="AQ140" s="90"/>
      <c r="AR140" s="90" t="s">
        <v>1432</v>
      </c>
      <c r="AS140" s="249" t="s">
        <v>766</v>
      </c>
      <c r="AT140" s="131" t="s">
        <v>185</v>
      </c>
      <c r="AU140" s="91"/>
      <c r="AV140" s="600"/>
      <c r="AW140" s="840"/>
      <c r="AX140" s="840"/>
      <c r="AY140" s="840"/>
      <c r="AZ140" s="840"/>
      <c r="BA140" s="529"/>
      <c r="BB140" s="600"/>
      <c r="BC140" s="600"/>
      <c r="BD140" s="600"/>
      <c r="BE140" s="529"/>
      <c r="BF140" s="529"/>
      <c r="BG140" s="529"/>
      <c r="BH140" s="873"/>
      <c r="BI140" s="600"/>
      <c r="BJ140" s="201"/>
      <c r="BK140" s="201"/>
      <c r="BN140" s="7"/>
    </row>
    <row r="141" s="9" customFormat="1" ht="80.1" customHeight="1" spans="1:66">
      <c r="A141" s="23">
        <f>SUBTOTAL(3,C$9:C141)</f>
        <v>126</v>
      </c>
      <c r="B141" s="55" t="s">
        <v>1433</v>
      </c>
      <c r="C141" s="35" t="s">
        <v>562</v>
      </c>
      <c r="D141" s="55" t="s">
        <v>1434</v>
      </c>
      <c r="E141" s="35" t="s">
        <v>575</v>
      </c>
      <c r="F141" s="36">
        <v>190800</v>
      </c>
      <c r="G141" s="67">
        <v>500</v>
      </c>
      <c r="H141" s="134"/>
      <c r="I141" s="894">
        <v>500</v>
      </c>
      <c r="J141" s="894">
        <v>1500</v>
      </c>
      <c r="K141" s="894">
        <v>2000</v>
      </c>
      <c r="L141" s="894">
        <v>2500</v>
      </c>
      <c r="M141" s="134"/>
      <c r="N141" s="34" t="s">
        <v>1435</v>
      </c>
      <c r="O141" s="133"/>
      <c r="P141" s="134"/>
      <c r="Q141" s="134"/>
      <c r="R141" s="134"/>
      <c r="S141" s="134"/>
      <c r="T141" s="134"/>
      <c r="U141" s="134"/>
      <c r="V141" s="134"/>
      <c r="W141" s="134"/>
      <c r="X141" s="90"/>
      <c r="Y141" s="90"/>
      <c r="Z141" s="862">
        <v>2100</v>
      </c>
      <c r="AA141" s="862"/>
      <c r="AB141" s="862">
        <v>2100</v>
      </c>
      <c r="AC141" s="862">
        <v>1020</v>
      </c>
      <c r="AD141" s="862"/>
      <c r="AE141" s="862">
        <v>1020</v>
      </c>
      <c r="AF141" s="862">
        <v>150</v>
      </c>
      <c r="AG141" s="862"/>
      <c r="AH141" s="862">
        <v>150</v>
      </c>
      <c r="AI141" s="862">
        <v>2100</v>
      </c>
      <c r="AJ141" s="862"/>
      <c r="AK141" s="862">
        <v>2100</v>
      </c>
      <c r="AL141" s="595"/>
      <c r="AM141" s="595"/>
      <c r="AN141" s="595"/>
      <c r="AO141" s="595"/>
      <c r="AP141" s="862">
        <v>2500</v>
      </c>
      <c r="AQ141" s="90"/>
      <c r="AR141" s="896" t="s">
        <v>1436</v>
      </c>
      <c r="AS141" s="249" t="s">
        <v>766</v>
      </c>
      <c r="AT141" s="131" t="s">
        <v>185</v>
      </c>
      <c r="AU141" s="270"/>
      <c r="AV141" s="600"/>
      <c r="AW141" s="840"/>
      <c r="AX141" s="840"/>
      <c r="AY141" s="840"/>
      <c r="AZ141" s="840"/>
      <c r="BA141" s="529"/>
      <c r="BB141" s="600"/>
      <c r="BC141" s="600"/>
      <c r="BD141" s="600"/>
      <c r="BE141" s="529"/>
      <c r="BF141" s="529"/>
      <c r="BG141" s="529"/>
      <c r="BH141" s="873"/>
      <c r="BI141" s="600"/>
      <c r="BJ141" s="201"/>
      <c r="BK141" s="201"/>
      <c r="BN141" s="7"/>
    </row>
    <row r="142" s="9" customFormat="1" ht="80.1" customHeight="1" spans="1:66">
      <c r="A142" s="23">
        <f>SUBTOTAL(3,C$9:C142)</f>
        <v>127</v>
      </c>
      <c r="B142" s="55" t="s">
        <v>1437</v>
      </c>
      <c r="C142" s="35" t="s">
        <v>562</v>
      </c>
      <c r="D142" s="55" t="s">
        <v>1438</v>
      </c>
      <c r="E142" s="35" t="s">
        <v>588</v>
      </c>
      <c r="F142" s="38">
        <v>127500</v>
      </c>
      <c r="G142" s="38">
        <v>46568</v>
      </c>
      <c r="H142" s="134"/>
      <c r="I142" s="67">
        <v>2000</v>
      </c>
      <c r="J142" s="67">
        <v>4800</v>
      </c>
      <c r="K142" s="67">
        <v>9400</v>
      </c>
      <c r="L142" s="38">
        <v>16000</v>
      </c>
      <c r="M142" s="134"/>
      <c r="N142" s="123" t="s">
        <v>1439</v>
      </c>
      <c r="O142" s="133"/>
      <c r="P142" s="134"/>
      <c r="Q142" s="134"/>
      <c r="R142" s="134"/>
      <c r="S142" s="134"/>
      <c r="T142" s="134"/>
      <c r="U142" s="134"/>
      <c r="V142" s="134"/>
      <c r="W142" s="134"/>
      <c r="X142" s="90"/>
      <c r="Y142" s="90"/>
      <c r="Z142" s="115">
        <v>61</v>
      </c>
      <c r="AA142" s="115">
        <v>61</v>
      </c>
      <c r="AB142" s="115"/>
      <c r="AC142" s="115"/>
      <c r="AD142" s="115"/>
      <c r="AE142" s="115"/>
      <c r="AF142" s="115"/>
      <c r="AG142" s="115"/>
      <c r="AH142" s="115"/>
      <c r="AI142" s="115"/>
      <c r="AJ142" s="115"/>
      <c r="AK142" s="115"/>
      <c r="AL142" s="595"/>
      <c r="AM142" s="595"/>
      <c r="AN142" s="595"/>
      <c r="AO142" s="595"/>
      <c r="AP142" s="821">
        <v>16000</v>
      </c>
      <c r="AQ142" s="90"/>
      <c r="AR142" s="90" t="s">
        <v>117</v>
      </c>
      <c r="AS142" s="34" t="s">
        <v>211</v>
      </c>
      <c r="AT142" s="131" t="s">
        <v>185</v>
      </c>
      <c r="AU142" s="270"/>
      <c r="AV142" s="600"/>
      <c r="AW142" s="840"/>
      <c r="AX142" s="840"/>
      <c r="AY142" s="840"/>
      <c r="AZ142" s="840"/>
      <c r="BA142" s="529"/>
      <c r="BB142" s="600"/>
      <c r="BC142" s="600"/>
      <c r="BD142" s="600"/>
      <c r="BE142" s="529"/>
      <c r="BF142" s="529"/>
      <c r="BG142" s="529"/>
      <c r="BH142" s="873"/>
      <c r="BI142" s="600"/>
      <c r="BJ142" s="201"/>
      <c r="BK142" s="201"/>
      <c r="BN142" s="7"/>
    </row>
    <row r="143" s="9" customFormat="1" ht="80.1" customHeight="1" spans="1:66">
      <c r="A143" s="23">
        <f>SUBTOTAL(3,C$9:C143)</f>
        <v>128</v>
      </c>
      <c r="B143" s="60" t="s">
        <v>1440</v>
      </c>
      <c r="C143" s="23" t="s">
        <v>562</v>
      </c>
      <c r="D143" s="60" t="s">
        <v>1441</v>
      </c>
      <c r="E143" s="23" t="s">
        <v>564</v>
      </c>
      <c r="F143" s="67">
        <v>86000</v>
      </c>
      <c r="G143" s="38">
        <v>22000</v>
      </c>
      <c r="H143" s="134"/>
      <c r="I143" s="859">
        <v>2000</v>
      </c>
      <c r="J143" s="859">
        <v>5000</v>
      </c>
      <c r="K143" s="859">
        <v>7500</v>
      </c>
      <c r="L143" s="859">
        <v>10000</v>
      </c>
      <c r="M143" s="134"/>
      <c r="N143" s="123" t="s">
        <v>1442</v>
      </c>
      <c r="O143" s="133"/>
      <c r="P143" s="134"/>
      <c r="Q143" s="134"/>
      <c r="R143" s="134"/>
      <c r="S143" s="134"/>
      <c r="T143" s="134"/>
      <c r="U143" s="134"/>
      <c r="V143" s="134"/>
      <c r="W143" s="134"/>
      <c r="X143" s="90"/>
      <c r="Y143" s="90"/>
      <c r="Z143" s="861">
        <v>141</v>
      </c>
      <c r="AA143" s="861">
        <v>141</v>
      </c>
      <c r="AB143" s="861"/>
      <c r="AC143" s="861"/>
      <c r="AD143" s="861"/>
      <c r="AE143" s="861"/>
      <c r="AF143" s="861"/>
      <c r="AG143" s="861"/>
      <c r="AH143" s="861"/>
      <c r="AI143" s="861">
        <v>141</v>
      </c>
      <c r="AJ143" s="861">
        <v>141</v>
      </c>
      <c r="AK143" s="861"/>
      <c r="AL143" s="595"/>
      <c r="AM143" s="595"/>
      <c r="AN143" s="595"/>
      <c r="AO143" s="897">
        <v>10000</v>
      </c>
      <c r="AP143" s="595"/>
      <c r="AQ143" s="90"/>
      <c r="AR143" s="898" t="s">
        <v>1443</v>
      </c>
      <c r="AS143" s="123" t="s">
        <v>766</v>
      </c>
      <c r="AT143" s="123" t="s">
        <v>185</v>
      </c>
      <c r="AU143" s="270"/>
      <c r="AV143" s="600"/>
      <c r="AW143" s="840"/>
      <c r="AX143" s="840"/>
      <c r="AY143" s="840"/>
      <c r="AZ143" s="840"/>
      <c r="BA143" s="529"/>
      <c r="BB143" s="600"/>
      <c r="BC143" s="600"/>
      <c r="BD143" s="600"/>
      <c r="BE143" s="529"/>
      <c r="BF143" s="529"/>
      <c r="BG143" s="529"/>
      <c r="BH143" s="873"/>
      <c r="BI143" s="600"/>
      <c r="BJ143" s="201"/>
      <c r="BK143" s="201"/>
      <c r="BN143" s="7"/>
    </row>
    <row r="144" s="9" customFormat="1" ht="80.1" customHeight="1" spans="1:66">
      <c r="A144" s="23">
        <f>SUBTOTAL(3,C$9:C144)</f>
        <v>129</v>
      </c>
      <c r="B144" s="60" t="s">
        <v>1444</v>
      </c>
      <c r="C144" s="23" t="s">
        <v>562</v>
      </c>
      <c r="D144" s="60" t="s">
        <v>1445</v>
      </c>
      <c r="E144" s="23" t="s">
        <v>564</v>
      </c>
      <c r="F144" s="67">
        <v>58000</v>
      </c>
      <c r="G144" s="38">
        <v>17000</v>
      </c>
      <c r="H144" s="134"/>
      <c r="I144" s="859">
        <v>1500</v>
      </c>
      <c r="J144" s="859">
        <v>4000</v>
      </c>
      <c r="K144" s="859">
        <v>6500</v>
      </c>
      <c r="L144" s="859">
        <v>8000</v>
      </c>
      <c r="M144" s="134"/>
      <c r="N144" s="123" t="s">
        <v>1446</v>
      </c>
      <c r="O144" s="133"/>
      <c r="P144" s="134"/>
      <c r="Q144" s="134"/>
      <c r="R144" s="134"/>
      <c r="S144" s="134"/>
      <c r="T144" s="134"/>
      <c r="U144" s="134"/>
      <c r="V144" s="134"/>
      <c r="W144" s="134"/>
      <c r="X144" s="90"/>
      <c r="Y144" s="90"/>
      <c r="Z144" s="861">
        <v>97</v>
      </c>
      <c r="AA144" s="861">
        <v>97</v>
      </c>
      <c r="AB144" s="861"/>
      <c r="AC144" s="861"/>
      <c r="AD144" s="861"/>
      <c r="AE144" s="132"/>
      <c r="AF144" s="861"/>
      <c r="AG144" s="861"/>
      <c r="AH144" s="132"/>
      <c r="AI144" s="861">
        <v>97</v>
      </c>
      <c r="AJ144" s="861">
        <v>97</v>
      </c>
      <c r="AK144" s="861"/>
      <c r="AL144" s="595"/>
      <c r="AM144" s="595"/>
      <c r="AN144" s="595"/>
      <c r="AO144" s="897">
        <v>8000</v>
      </c>
      <c r="AP144" s="595"/>
      <c r="AQ144" s="90"/>
      <c r="AR144" s="898" t="s">
        <v>1443</v>
      </c>
      <c r="AS144" s="123" t="s">
        <v>766</v>
      </c>
      <c r="AT144" s="123" t="s">
        <v>185</v>
      </c>
      <c r="AU144" s="270"/>
      <c r="AV144" s="600"/>
      <c r="AW144" s="840"/>
      <c r="AX144" s="840"/>
      <c r="AY144" s="840"/>
      <c r="AZ144" s="840"/>
      <c r="BA144" s="529"/>
      <c r="BB144" s="600"/>
      <c r="BC144" s="600"/>
      <c r="BD144" s="600"/>
      <c r="BE144" s="529"/>
      <c r="BF144" s="529"/>
      <c r="BG144" s="529"/>
      <c r="BH144" s="873"/>
      <c r="BI144" s="600"/>
      <c r="BJ144" s="201"/>
      <c r="BK144" s="201"/>
      <c r="BN144" s="7"/>
    </row>
    <row r="145" s="9" customFormat="1" ht="80.1" customHeight="1" spans="1:66">
      <c r="A145" s="23">
        <f>SUBTOTAL(3,C$9:C145)</f>
        <v>130</v>
      </c>
      <c r="B145" s="93" t="s">
        <v>1447</v>
      </c>
      <c r="C145" s="35" t="s">
        <v>562</v>
      </c>
      <c r="D145" s="93" t="s">
        <v>1448</v>
      </c>
      <c r="E145" s="92" t="s">
        <v>832</v>
      </c>
      <c r="F145" s="67">
        <v>36596</v>
      </c>
      <c r="G145" s="67">
        <v>16000</v>
      </c>
      <c r="H145" s="134"/>
      <c r="I145" s="35">
        <v>300</v>
      </c>
      <c r="J145" s="35">
        <v>1500</v>
      </c>
      <c r="K145" s="35">
        <v>2700</v>
      </c>
      <c r="L145" s="156">
        <v>4000</v>
      </c>
      <c r="M145" s="134"/>
      <c r="N145" s="34" t="s">
        <v>1449</v>
      </c>
      <c r="O145" s="133"/>
      <c r="P145" s="134"/>
      <c r="Q145" s="134"/>
      <c r="R145" s="134"/>
      <c r="S145" s="134"/>
      <c r="T145" s="134"/>
      <c r="U145" s="134"/>
      <c r="V145" s="134"/>
      <c r="W145" s="134"/>
      <c r="X145" s="90"/>
      <c r="Y145" s="90"/>
      <c r="Z145" s="134">
        <v>171.627</v>
      </c>
      <c r="AA145" s="134"/>
      <c r="AB145" s="134">
        <v>171.627</v>
      </c>
      <c r="AC145" s="134">
        <v>71.4</v>
      </c>
      <c r="AD145" s="134">
        <v>71.4</v>
      </c>
      <c r="AE145" s="134"/>
      <c r="AF145" s="134"/>
      <c r="AG145" s="134"/>
      <c r="AH145" s="134"/>
      <c r="AI145" s="134">
        <v>80</v>
      </c>
      <c r="AJ145" s="134"/>
      <c r="AK145" s="134">
        <v>80</v>
      </c>
      <c r="AL145" s="595"/>
      <c r="AM145" s="595"/>
      <c r="AN145" s="595"/>
      <c r="AO145" s="132">
        <v>232</v>
      </c>
      <c r="AP145" s="132">
        <v>3768</v>
      </c>
      <c r="AQ145" s="90"/>
      <c r="AR145" s="135" t="s">
        <v>1450</v>
      </c>
      <c r="AS145" s="123" t="s">
        <v>591</v>
      </c>
      <c r="AT145" s="123" t="s">
        <v>185</v>
      </c>
      <c r="AU145" s="91"/>
      <c r="AV145" s="600"/>
      <c r="AW145" s="840"/>
      <c r="AX145" s="840"/>
      <c r="AY145" s="840"/>
      <c r="AZ145" s="840"/>
      <c r="BA145" s="529"/>
      <c r="BB145" s="600"/>
      <c r="BC145" s="600"/>
      <c r="BD145" s="600"/>
      <c r="BE145" s="529"/>
      <c r="BF145" s="529"/>
      <c r="BG145" s="529"/>
      <c r="BH145" s="873"/>
      <c r="BI145" s="600"/>
      <c r="BJ145" s="201"/>
      <c r="BK145" s="201"/>
      <c r="BN145" s="7"/>
    </row>
    <row r="146" s="9" customFormat="1" ht="80.1" customHeight="1" spans="1:66">
      <c r="A146" s="23">
        <f>SUBTOTAL(3,C$9:C146)</f>
        <v>131</v>
      </c>
      <c r="B146" s="55" t="s">
        <v>1451</v>
      </c>
      <c r="C146" s="35" t="s">
        <v>562</v>
      </c>
      <c r="D146" s="55" t="s">
        <v>1452</v>
      </c>
      <c r="E146" s="35" t="s">
        <v>575</v>
      </c>
      <c r="F146" s="38">
        <v>30498</v>
      </c>
      <c r="G146" s="38">
        <v>17300</v>
      </c>
      <c r="H146" s="134"/>
      <c r="I146" s="76">
        <v>1600</v>
      </c>
      <c r="J146" s="76">
        <v>3200</v>
      </c>
      <c r="K146" s="76">
        <v>4800</v>
      </c>
      <c r="L146" s="38">
        <v>5400</v>
      </c>
      <c r="M146" s="134"/>
      <c r="N146" s="112" t="s">
        <v>1453</v>
      </c>
      <c r="O146" s="133"/>
      <c r="P146" s="134"/>
      <c r="Q146" s="134"/>
      <c r="R146" s="134"/>
      <c r="S146" s="134"/>
      <c r="T146" s="134"/>
      <c r="U146" s="134"/>
      <c r="V146" s="134"/>
      <c r="W146" s="134"/>
      <c r="X146" s="90"/>
      <c r="Y146" s="90"/>
      <c r="Z146" s="551">
        <v>197</v>
      </c>
      <c r="AA146" s="551">
        <v>197</v>
      </c>
      <c r="AB146" s="551"/>
      <c r="AC146" s="551">
        <v>197</v>
      </c>
      <c r="AD146" s="551">
        <v>197</v>
      </c>
      <c r="AE146" s="551"/>
      <c r="AF146" s="551"/>
      <c r="AG146" s="551"/>
      <c r="AH146" s="551"/>
      <c r="AI146" s="551">
        <v>197</v>
      </c>
      <c r="AJ146" s="551">
        <v>157</v>
      </c>
      <c r="AK146" s="551">
        <v>40</v>
      </c>
      <c r="AL146" s="595"/>
      <c r="AM146" s="595"/>
      <c r="AN146" s="595"/>
      <c r="AO146" s="595"/>
      <c r="AP146" s="551">
        <v>5400</v>
      </c>
      <c r="AQ146" s="90"/>
      <c r="AR146" s="90" t="s">
        <v>1454</v>
      </c>
      <c r="AS146" s="34" t="s">
        <v>1416</v>
      </c>
      <c r="AT146" s="123" t="s">
        <v>185</v>
      </c>
      <c r="AU146" s="270" t="s">
        <v>1455</v>
      </c>
      <c r="AV146" s="600"/>
      <c r="AW146" s="840"/>
      <c r="AX146" s="840"/>
      <c r="AY146" s="840"/>
      <c r="AZ146" s="840"/>
      <c r="BA146" s="529"/>
      <c r="BB146" s="600"/>
      <c r="BC146" s="600"/>
      <c r="BD146" s="600"/>
      <c r="BE146" s="529"/>
      <c r="BF146" s="529"/>
      <c r="BG146" s="529"/>
      <c r="BH146" s="873"/>
      <c r="BI146" s="600"/>
      <c r="BJ146" s="201"/>
      <c r="BK146" s="201"/>
      <c r="BN146" s="7"/>
    </row>
    <row r="147" s="9" customFormat="1" ht="80.1" customHeight="1" spans="1:66">
      <c r="A147" s="23">
        <f>SUBTOTAL(3,C$9:C147)</f>
        <v>132</v>
      </c>
      <c r="B147" s="55" t="s">
        <v>1456</v>
      </c>
      <c r="C147" s="23" t="s">
        <v>562</v>
      </c>
      <c r="D147" s="60" t="s">
        <v>1457</v>
      </c>
      <c r="E147" s="35" t="s">
        <v>564</v>
      </c>
      <c r="F147" s="36">
        <v>30000</v>
      </c>
      <c r="G147" s="36">
        <v>15500</v>
      </c>
      <c r="H147" s="134"/>
      <c r="I147" s="852">
        <v>2500</v>
      </c>
      <c r="J147" s="852">
        <v>5000</v>
      </c>
      <c r="K147" s="852">
        <v>8500</v>
      </c>
      <c r="L147" s="852">
        <v>10000</v>
      </c>
      <c r="M147" s="134"/>
      <c r="N147" s="123" t="s">
        <v>1458</v>
      </c>
      <c r="O147" s="133"/>
      <c r="P147" s="134"/>
      <c r="Q147" s="134"/>
      <c r="R147" s="134"/>
      <c r="S147" s="134"/>
      <c r="T147" s="134"/>
      <c r="U147" s="134"/>
      <c r="V147" s="134"/>
      <c r="W147" s="134"/>
      <c r="X147" s="90"/>
      <c r="Y147" s="90"/>
      <c r="Z147" s="861">
        <v>22</v>
      </c>
      <c r="AA147" s="861">
        <v>22</v>
      </c>
      <c r="AB147" s="861"/>
      <c r="AC147" s="861"/>
      <c r="AD147" s="861"/>
      <c r="AE147" s="861"/>
      <c r="AF147" s="861"/>
      <c r="AG147" s="861"/>
      <c r="AH147" s="861"/>
      <c r="AI147" s="861"/>
      <c r="AJ147" s="861"/>
      <c r="AK147" s="861"/>
      <c r="AL147" s="595"/>
      <c r="AM147" s="595"/>
      <c r="AN147" s="595"/>
      <c r="AO147" s="99">
        <v>1000</v>
      </c>
      <c r="AP147" s="99">
        <v>9000</v>
      </c>
      <c r="AQ147" s="90"/>
      <c r="AR147" s="90" t="s">
        <v>117</v>
      </c>
      <c r="AS147" s="123" t="s">
        <v>766</v>
      </c>
      <c r="AT147" s="123" t="s">
        <v>185</v>
      </c>
      <c r="AU147" s="270"/>
      <c r="AV147" s="600"/>
      <c r="AW147" s="840"/>
      <c r="AX147" s="840"/>
      <c r="AY147" s="840"/>
      <c r="AZ147" s="840"/>
      <c r="BA147" s="529"/>
      <c r="BB147" s="600"/>
      <c r="BC147" s="600"/>
      <c r="BD147" s="600"/>
      <c r="BE147" s="529"/>
      <c r="BF147" s="529"/>
      <c r="BG147" s="529"/>
      <c r="BH147" s="873"/>
      <c r="BI147" s="600"/>
      <c r="BJ147" s="201"/>
      <c r="BK147" s="201"/>
      <c r="BN147" s="7"/>
    </row>
    <row r="148" s="9" customFormat="1" ht="80.1" customHeight="1" spans="1:66">
      <c r="A148" s="23">
        <f>SUBTOTAL(3,C$9:C148)</f>
        <v>133</v>
      </c>
      <c r="B148" s="55" t="s">
        <v>1459</v>
      </c>
      <c r="C148" s="156" t="s">
        <v>562</v>
      </c>
      <c r="D148" s="55" t="s">
        <v>1460</v>
      </c>
      <c r="E148" s="35" t="s">
        <v>564</v>
      </c>
      <c r="F148" s="36">
        <v>25000</v>
      </c>
      <c r="G148" s="35">
        <v>7180</v>
      </c>
      <c r="H148" s="134"/>
      <c r="I148" s="35">
        <v>200</v>
      </c>
      <c r="J148" s="35">
        <v>560</v>
      </c>
      <c r="K148" s="35">
        <v>820</v>
      </c>
      <c r="L148" s="35">
        <v>1000</v>
      </c>
      <c r="M148" s="134"/>
      <c r="N148" s="34" t="s">
        <v>1461</v>
      </c>
      <c r="O148" s="133"/>
      <c r="P148" s="134"/>
      <c r="Q148" s="134"/>
      <c r="R148" s="134"/>
      <c r="S148" s="134"/>
      <c r="T148" s="134"/>
      <c r="U148" s="134"/>
      <c r="V148" s="134"/>
      <c r="W148" s="134"/>
      <c r="X148" s="90"/>
      <c r="Y148" s="90"/>
      <c r="Z148" s="861">
        <v>22</v>
      </c>
      <c r="AA148" s="861">
        <v>22</v>
      </c>
      <c r="AB148" s="861"/>
      <c r="AC148" s="861"/>
      <c r="AD148" s="861"/>
      <c r="AE148" s="861"/>
      <c r="AF148" s="861"/>
      <c r="AG148" s="861"/>
      <c r="AH148" s="861"/>
      <c r="AI148" s="861"/>
      <c r="AJ148" s="861"/>
      <c r="AK148" s="861"/>
      <c r="AL148" s="595"/>
      <c r="AM148" s="595"/>
      <c r="AN148" s="595"/>
      <c r="AO148" s="551">
        <v>1726</v>
      </c>
      <c r="AP148" s="595"/>
      <c r="AQ148" s="90"/>
      <c r="AR148" s="90" t="s">
        <v>1462</v>
      </c>
      <c r="AS148" s="34" t="s">
        <v>591</v>
      </c>
      <c r="AT148" s="91" t="s">
        <v>185</v>
      </c>
      <c r="AU148" s="270"/>
      <c r="AV148" s="600"/>
      <c r="AW148" s="840"/>
      <c r="AX148" s="840"/>
      <c r="AY148" s="840"/>
      <c r="AZ148" s="840"/>
      <c r="BA148" s="529"/>
      <c r="BB148" s="600"/>
      <c r="BC148" s="600"/>
      <c r="BD148" s="600"/>
      <c r="BE148" s="529"/>
      <c r="BF148" s="529"/>
      <c r="BG148" s="529"/>
      <c r="BH148" s="873"/>
      <c r="BI148" s="600"/>
      <c r="BJ148" s="201"/>
      <c r="BK148" s="201"/>
      <c r="BN148" s="7"/>
    </row>
    <row r="149" s="9" customFormat="1" ht="80.1" customHeight="1" spans="1:66">
      <c r="A149" s="23">
        <f>SUBTOTAL(3,C$9:C149)</f>
        <v>134</v>
      </c>
      <c r="B149" s="55" t="s">
        <v>1463</v>
      </c>
      <c r="C149" s="35" t="s">
        <v>562</v>
      </c>
      <c r="D149" s="55" t="s">
        <v>1464</v>
      </c>
      <c r="E149" s="35" t="s">
        <v>575</v>
      </c>
      <c r="F149" s="38">
        <v>9564</v>
      </c>
      <c r="G149" s="38">
        <v>1860</v>
      </c>
      <c r="H149" s="134"/>
      <c r="I149" s="76">
        <v>1000</v>
      </c>
      <c r="J149" s="76">
        <v>2200</v>
      </c>
      <c r="K149" s="76">
        <v>3500</v>
      </c>
      <c r="L149" s="38">
        <v>5000</v>
      </c>
      <c r="M149" s="134"/>
      <c r="N149" s="112" t="s">
        <v>1465</v>
      </c>
      <c r="O149" s="133"/>
      <c r="P149" s="134"/>
      <c r="Q149" s="134"/>
      <c r="R149" s="134"/>
      <c r="S149" s="134"/>
      <c r="T149" s="134"/>
      <c r="U149" s="134"/>
      <c r="V149" s="134"/>
      <c r="W149" s="134"/>
      <c r="X149" s="90"/>
      <c r="Y149" s="90"/>
      <c r="Z149" s="115">
        <v>55</v>
      </c>
      <c r="AA149" s="115">
        <v>55</v>
      </c>
      <c r="AB149" s="115"/>
      <c r="AC149" s="115">
        <v>55</v>
      </c>
      <c r="AD149" s="115">
        <v>55</v>
      </c>
      <c r="AE149" s="115"/>
      <c r="AF149" s="115"/>
      <c r="AG149" s="115"/>
      <c r="AH149" s="115"/>
      <c r="AI149" s="115"/>
      <c r="AJ149" s="115"/>
      <c r="AK149" s="115"/>
      <c r="AL149" s="595"/>
      <c r="AM149" s="595"/>
      <c r="AN149" s="595"/>
      <c r="AO149" s="551">
        <v>2664</v>
      </c>
      <c r="AP149" s="551">
        <v>2336</v>
      </c>
      <c r="AQ149" s="90"/>
      <c r="AR149" s="90" t="s">
        <v>1466</v>
      </c>
      <c r="AS149" s="34" t="s">
        <v>1416</v>
      </c>
      <c r="AT149" s="123" t="s">
        <v>185</v>
      </c>
      <c r="AU149" s="91"/>
      <c r="AV149" s="600"/>
      <c r="AW149" s="840"/>
      <c r="AX149" s="840"/>
      <c r="AY149" s="840"/>
      <c r="AZ149" s="840"/>
      <c r="BA149" s="529"/>
      <c r="BB149" s="600"/>
      <c r="BC149" s="600"/>
      <c r="BD149" s="600"/>
      <c r="BE149" s="529"/>
      <c r="BF149" s="529"/>
      <c r="BG149" s="529"/>
      <c r="BH149" s="873"/>
      <c r="BI149" s="600"/>
      <c r="BJ149" s="201"/>
      <c r="BK149" s="201"/>
      <c r="BN149" s="7"/>
    </row>
    <row r="150" s="9" customFormat="1" ht="80.1" customHeight="1" spans="1:66">
      <c r="A150" s="23">
        <f>SUBTOTAL(3,C$9:C150)</f>
        <v>135</v>
      </c>
      <c r="B150" s="55" t="s">
        <v>1467</v>
      </c>
      <c r="C150" s="35" t="s">
        <v>562</v>
      </c>
      <c r="D150" s="55" t="s">
        <v>1468</v>
      </c>
      <c r="E150" s="35" t="s">
        <v>575</v>
      </c>
      <c r="F150" s="38">
        <v>8040</v>
      </c>
      <c r="G150" s="38">
        <v>2300</v>
      </c>
      <c r="H150" s="134"/>
      <c r="I150" s="76">
        <v>600</v>
      </c>
      <c r="J150" s="76">
        <v>1400</v>
      </c>
      <c r="K150" s="76">
        <v>1800</v>
      </c>
      <c r="L150" s="38">
        <v>2000</v>
      </c>
      <c r="M150" s="134"/>
      <c r="N150" s="112" t="s">
        <v>1465</v>
      </c>
      <c r="O150" s="133"/>
      <c r="P150" s="134"/>
      <c r="Q150" s="134"/>
      <c r="R150" s="134"/>
      <c r="S150" s="134"/>
      <c r="T150" s="134"/>
      <c r="U150" s="134"/>
      <c r="V150" s="134"/>
      <c r="W150" s="134"/>
      <c r="X150" s="90"/>
      <c r="Y150" s="90"/>
      <c r="Z150" s="551">
        <v>67</v>
      </c>
      <c r="AA150" s="551">
        <v>67</v>
      </c>
      <c r="AB150" s="551"/>
      <c r="AC150" s="551">
        <v>67</v>
      </c>
      <c r="AD150" s="551">
        <v>67</v>
      </c>
      <c r="AE150" s="551"/>
      <c r="AF150" s="551"/>
      <c r="AG150" s="551"/>
      <c r="AH150" s="551"/>
      <c r="AI150" s="551">
        <v>67</v>
      </c>
      <c r="AJ150" s="551">
        <v>37</v>
      </c>
      <c r="AK150" s="551">
        <v>30</v>
      </c>
      <c r="AL150" s="595"/>
      <c r="AM150" s="595"/>
      <c r="AN150" s="595"/>
      <c r="AO150" s="551">
        <v>1400</v>
      </c>
      <c r="AP150" s="551">
        <v>600</v>
      </c>
      <c r="AQ150" s="90"/>
      <c r="AR150" s="90" t="s">
        <v>1469</v>
      </c>
      <c r="AS150" s="34" t="s">
        <v>1416</v>
      </c>
      <c r="AT150" s="123" t="s">
        <v>185</v>
      </c>
      <c r="AU150" s="270" t="s">
        <v>1470</v>
      </c>
      <c r="AV150" s="600"/>
      <c r="AW150" s="840"/>
      <c r="AX150" s="840"/>
      <c r="AY150" s="840"/>
      <c r="AZ150" s="840"/>
      <c r="BA150" s="529"/>
      <c r="BB150" s="600"/>
      <c r="BC150" s="600"/>
      <c r="BD150" s="600"/>
      <c r="BE150" s="529"/>
      <c r="BF150" s="529"/>
      <c r="BG150" s="529"/>
      <c r="BH150" s="873"/>
      <c r="BI150" s="600"/>
      <c r="BJ150" s="201"/>
      <c r="BK150" s="201"/>
      <c r="BN150" s="7"/>
    </row>
    <row r="151" s="9" customFormat="1" ht="80.1" customHeight="1" spans="1:66">
      <c r="A151" s="23">
        <f>SUBTOTAL(3,C$9:C151)</f>
        <v>136</v>
      </c>
      <c r="B151" s="55" t="s">
        <v>1471</v>
      </c>
      <c r="C151" s="35" t="s">
        <v>562</v>
      </c>
      <c r="D151" s="55" t="s">
        <v>1472</v>
      </c>
      <c r="E151" s="35" t="s">
        <v>575</v>
      </c>
      <c r="F151" s="38">
        <v>7475</v>
      </c>
      <c r="G151" s="38">
        <v>1300</v>
      </c>
      <c r="H151" s="134"/>
      <c r="I151" s="76">
        <v>300</v>
      </c>
      <c r="J151" s="76">
        <v>800</v>
      </c>
      <c r="K151" s="76">
        <v>1600</v>
      </c>
      <c r="L151" s="38">
        <v>2200</v>
      </c>
      <c r="M151" s="134"/>
      <c r="N151" s="112" t="s">
        <v>1473</v>
      </c>
      <c r="O151" s="133"/>
      <c r="P151" s="134"/>
      <c r="Q151" s="134"/>
      <c r="R151" s="134"/>
      <c r="S151" s="134"/>
      <c r="T151" s="134"/>
      <c r="U151" s="134"/>
      <c r="V151" s="134"/>
      <c r="W151" s="134"/>
      <c r="X151" s="90"/>
      <c r="Y151" s="90"/>
      <c r="Z151" s="115">
        <v>66</v>
      </c>
      <c r="AA151" s="115">
        <v>66</v>
      </c>
      <c r="AB151" s="115"/>
      <c r="AC151" s="551">
        <v>66</v>
      </c>
      <c r="AD151" s="551">
        <v>66</v>
      </c>
      <c r="AE151" s="115"/>
      <c r="AF151" s="115"/>
      <c r="AG151" s="115"/>
      <c r="AH151" s="115"/>
      <c r="AI151" s="115"/>
      <c r="AJ151" s="115"/>
      <c r="AK151" s="115"/>
      <c r="AL151" s="595"/>
      <c r="AM151" s="595"/>
      <c r="AN151" s="595"/>
      <c r="AO151" s="551">
        <v>2612</v>
      </c>
      <c r="AP151" s="854"/>
      <c r="AQ151" s="90"/>
      <c r="AR151" s="90" t="s">
        <v>117</v>
      </c>
      <c r="AS151" s="34" t="s">
        <v>1416</v>
      </c>
      <c r="AT151" s="123" t="s">
        <v>185</v>
      </c>
      <c r="AU151" s="91"/>
      <c r="AV151" s="600"/>
      <c r="AW151" s="840"/>
      <c r="AX151" s="840"/>
      <c r="AY151" s="840"/>
      <c r="AZ151" s="840"/>
      <c r="BA151" s="529"/>
      <c r="BB151" s="600"/>
      <c r="BC151" s="600"/>
      <c r="BD151" s="600"/>
      <c r="BE151" s="529"/>
      <c r="BF151" s="529"/>
      <c r="BG151" s="529"/>
      <c r="BH151" s="873"/>
      <c r="BI151" s="600"/>
      <c r="BJ151" s="201"/>
      <c r="BK151" s="201"/>
      <c r="BN151" s="7"/>
    </row>
    <row r="152" s="9" customFormat="1" ht="80.1" customHeight="1" spans="1:66">
      <c r="A152" s="23">
        <f>SUBTOTAL(3,C$9:C152)</f>
        <v>137</v>
      </c>
      <c r="B152" s="55" t="s">
        <v>1474</v>
      </c>
      <c r="C152" s="92" t="s">
        <v>810</v>
      </c>
      <c r="D152" s="34" t="s">
        <v>1475</v>
      </c>
      <c r="E152" s="35" t="s">
        <v>812</v>
      </c>
      <c r="F152" s="38">
        <v>36000</v>
      </c>
      <c r="G152" s="38">
        <v>24000</v>
      </c>
      <c r="H152" s="81" t="s">
        <v>283</v>
      </c>
      <c r="I152" s="76">
        <v>4000</v>
      </c>
      <c r="J152" s="76">
        <v>7000</v>
      </c>
      <c r="K152" s="76">
        <v>11000</v>
      </c>
      <c r="L152" s="38">
        <v>12000</v>
      </c>
      <c r="M152" s="134"/>
      <c r="N152" s="123" t="s">
        <v>971</v>
      </c>
      <c r="O152" s="133"/>
      <c r="P152" s="134"/>
      <c r="Q152" s="134"/>
      <c r="R152" s="134"/>
      <c r="S152" s="134"/>
      <c r="T152" s="134"/>
      <c r="U152" s="134"/>
      <c r="V152" s="134"/>
      <c r="W152" s="134"/>
      <c r="X152" s="90"/>
      <c r="Y152" s="90"/>
      <c r="Z152" s="551">
        <v>272</v>
      </c>
      <c r="AA152" s="551">
        <v>272</v>
      </c>
      <c r="AB152" s="551"/>
      <c r="AC152" s="551">
        <v>272</v>
      </c>
      <c r="AD152" s="551">
        <v>272</v>
      </c>
      <c r="AE152" s="551"/>
      <c r="AF152" s="551"/>
      <c r="AG152" s="551"/>
      <c r="AH152" s="551"/>
      <c r="AI152" s="551">
        <v>272</v>
      </c>
      <c r="AJ152" s="551">
        <v>263</v>
      </c>
      <c r="AK152" s="551">
        <v>9</v>
      </c>
      <c r="AL152" s="595"/>
      <c r="AM152" s="595"/>
      <c r="AN152" s="595"/>
      <c r="AO152" s="595"/>
      <c r="AP152" s="76"/>
      <c r="AQ152" s="90"/>
      <c r="AR152" s="112" t="s">
        <v>1476</v>
      </c>
      <c r="AS152" s="34" t="s">
        <v>1416</v>
      </c>
      <c r="AT152" s="123" t="s">
        <v>185</v>
      </c>
      <c r="AU152" s="91"/>
      <c r="AV152" s="600"/>
      <c r="AW152" s="840"/>
      <c r="AX152" s="840"/>
      <c r="AY152" s="840"/>
      <c r="AZ152" s="840"/>
      <c r="BA152" s="529"/>
      <c r="BB152" s="600"/>
      <c r="BC152" s="600"/>
      <c r="BD152" s="600"/>
      <c r="BE152" s="529"/>
      <c r="BF152" s="529"/>
      <c r="BG152" s="529"/>
      <c r="BH152" s="873"/>
      <c r="BI152" s="600"/>
      <c r="BJ152" s="201"/>
      <c r="BK152" s="201"/>
      <c r="BN152" s="7"/>
    </row>
    <row r="153" s="9" customFormat="1" ht="80.1" customHeight="1" spans="1:66">
      <c r="A153" s="23">
        <f>SUBTOTAL(3,C$9:C153)</f>
        <v>138</v>
      </c>
      <c r="B153" s="55" t="s">
        <v>1477</v>
      </c>
      <c r="C153" s="92" t="s">
        <v>810</v>
      </c>
      <c r="D153" s="34" t="s">
        <v>1478</v>
      </c>
      <c r="E153" s="35" t="s">
        <v>812</v>
      </c>
      <c r="F153" s="38">
        <v>13200</v>
      </c>
      <c r="G153" s="38">
        <v>8450</v>
      </c>
      <c r="H153" s="81" t="s">
        <v>209</v>
      </c>
      <c r="I153" s="37">
        <v>1000</v>
      </c>
      <c r="J153" s="37">
        <v>2250</v>
      </c>
      <c r="K153" s="37">
        <v>3500</v>
      </c>
      <c r="L153" s="38">
        <v>4750</v>
      </c>
      <c r="M153" s="134"/>
      <c r="N153" s="123" t="s">
        <v>971</v>
      </c>
      <c r="O153" s="133"/>
      <c r="P153" s="134"/>
      <c r="Q153" s="134"/>
      <c r="R153" s="134"/>
      <c r="S153" s="134"/>
      <c r="T153" s="134"/>
      <c r="U153" s="134"/>
      <c r="V153" s="134"/>
      <c r="W153" s="134"/>
      <c r="X153" s="90"/>
      <c r="Y153" s="90"/>
      <c r="Z153" s="551">
        <v>103</v>
      </c>
      <c r="AA153" s="551">
        <v>103</v>
      </c>
      <c r="AB153" s="551"/>
      <c r="AC153" s="551">
        <v>103</v>
      </c>
      <c r="AD153" s="551">
        <v>103</v>
      </c>
      <c r="AE153" s="115"/>
      <c r="AF153" s="115"/>
      <c r="AG153" s="115"/>
      <c r="AH153" s="115"/>
      <c r="AI153" s="115"/>
      <c r="AJ153" s="115"/>
      <c r="AK153" s="115"/>
      <c r="AL153" s="595"/>
      <c r="AM153" s="595"/>
      <c r="AN153" s="595"/>
      <c r="AO153" s="551">
        <v>1400</v>
      </c>
      <c r="AP153" s="551">
        <v>3350</v>
      </c>
      <c r="AQ153" s="90"/>
      <c r="AR153" s="112" t="s">
        <v>117</v>
      </c>
      <c r="AS153" s="34" t="s">
        <v>1416</v>
      </c>
      <c r="AT153" s="123" t="s">
        <v>185</v>
      </c>
      <c r="AU153" s="91"/>
      <c r="AV153" s="600"/>
      <c r="AW153" s="840"/>
      <c r="AX153" s="840"/>
      <c r="AY153" s="840"/>
      <c r="AZ153" s="840"/>
      <c r="BA153" s="529"/>
      <c r="BB153" s="600"/>
      <c r="BC153" s="600"/>
      <c r="BD153" s="600"/>
      <c r="BE153" s="529"/>
      <c r="BF153" s="529"/>
      <c r="BG153" s="529"/>
      <c r="BH153" s="873"/>
      <c r="BI153" s="600"/>
      <c r="BJ153" s="201"/>
      <c r="BK153" s="201"/>
      <c r="BN153" s="7"/>
    </row>
    <row r="154" s="9" customFormat="1" ht="80.1" customHeight="1" spans="1:66">
      <c r="A154" s="23">
        <f>SUBTOTAL(3,C$9:C154)</f>
        <v>139</v>
      </c>
      <c r="B154" s="55" t="s">
        <v>1479</v>
      </c>
      <c r="C154" s="35" t="s">
        <v>810</v>
      </c>
      <c r="D154" s="34" t="s">
        <v>1480</v>
      </c>
      <c r="E154" s="35" t="s">
        <v>812</v>
      </c>
      <c r="F154" s="38">
        <v>6500</v>
      </c>
      <c r="G154" s="38">
        <v>4090</v>
      </c>
      <c r="H154" s="81" t="s">
        <v>113</v>
      </c>
      <c r="I154" s="37">
        <v>1100</v>
      </c>
      <c r="J154" s="37">
        <v>1200</v>
      </c>
      <c r="K154" s="38">
        <v>2410</v>
      </c>
      <c r="L154" s="38">
        <v>2410</v>
      </c>
      <c r="M154" s="134"/>
      <c r="N154" s="123" t="s">
        <v>971</v>
      </c>
      <c r="O154" s="133"/>
      <c r="P154" s="134"/>
      <c r="Q154" s="134"/>
      <c r="R154" s="134"/>
      <c r="S154" s="134"/>
      <c r="T154" s="134"/>
      <c r="U154" s="134"/>
      <c r="V154" s="134"/>
      <c r="W154" s="134"/>
      <c r="X154" s="90"/>
      <c r="Y154" s="90"/>
      <c r="Z154" s="115">
        <v>42.8</v>
      </c>
      <c r="AA154" s="115">
        <v>42.8</v>
      </c>
      <c r="AB154" s="115"/>
      <c r="AC154" s="115"/>
      <c r="AD154" s="115"/>
      <c r="AE154" s="115"/>
      <c r="AF154" s="115"/>
      <c r="AG154" s="115"/>
      <c r="AH154" s="115"/>
      <c r="AI154" s="115">
        <v>28</v>
      </c>
      <c r="AJ154" s="115"/>
      <c r="AK154" s="115">
        <v>28</v>
      </c>
      <c r="AL154" s="595"/>
      <c r="AM154" s="595"/>
      <c r="AN154" s="595"/>
      <c r="AO154" s="551">
        <v>1856</v>
      </c>
      <c r="AP154" s="551">
        <v>554</v>
      </c>
      <c r="AQ154" s="90"/>
      <c r="AR154" s="112" t="s">
        <v>1481</v>
      </c>
      <c r="AS154" s="34" t="s">
        <v>1416</v>
      </c>
      <c r="AT154" s="123" t="s">
        <v>185</v>
      </c>
      <c r="AU154" s="91"/>
      <c r="AV154" s="600"/>
      <c r="AW154" s="840"/>
      <c r="AX154" s="840"/>
      <c r="AY154" s="840"/>
      <c r="AZ154" s="840"/>
      <c r="BA154" s="529"/>
      <c r="BB154" s="600"/>
      <c r="BC154" s="600"/>
      <c r="BD154" s="600"/>
      <c r="BE154" s="529"/>
      <c r="BF154" s="529"/>
      <c r="BG154" s="529"/>
      <c r="BH154" s="873"/>
      <c r="BI154" s="600"/>
      <c r="BJ154" s="201"/>
      <c r="BK154" s="201"/>
      <c r="BN154" s="7"/>
    </row>
    <row r="155" s="9" customFormat="1" ht="80.1" customHeight="1" spans="1:66">
      <c r="A155" s="23">
        <f>SUBTOTAL(3,C$9:C155)</f>
        <v>140</v>
      </c>
      <c r="B155" s="54" t="s">
        <v>1482</v>
      </c>
      <c r="C155" s="67" t="s">
        <v>562</v>
      </c>
      <c r="D155" s="54" t="s">
        <v>1483</v>
      </c>
      <c r="E155" s="67" t="s">
        <v>1484</v>
      </c>
      <c r="F155" s="67">
        <v>6480</v>
      </c>
      <c r="G155" s="67">
        <v>1168</v>
      </c>
      <c r="H155" s="134"/>
      <c r="I155" s="67">
        <v>500</v>
      </c>
      <c r="J155" s="67">
        <v>1000</v>
      </c>
      <c r="K155" s="67">
        <v>1500</v>
      </c>
      <c r="L155" s="67">
        <v>1700</v>
      </c>
      <c r="M155" s="134"/>
      <c r="N155" s="123" t="s">
        <v>1485</v>
      </c>
      <c r="O155" s="133"/>
      <c r="P155" s="134"/>
      <c r="Q155" s="134"/>
      <c r="R155" s="134"/>
      <c r="S155" s="134"/>
      <c r="T155" s="134"/>
      <c r="U155" s="134"/>
      <c r="V155" s="134"/>
      <c r="W155" s="134"/>
      <c r="X155" s="90"/>
      <c r="Y155" s="90"/>
      <c r="Z155" s="134">
        <v>34</v>
      </c>
      <c r="AA155" s="134"/>
      <c r="AB155" s="134">
        <v>33.57</v>
      </c>
      <c r="AC155" s="134">
        <v>1.0635</v>
      </c>
      <c r="AD155" s="134">
        <v>1.0635</v>
      </c>
      <c r="AE155" s="134"/>
      <c r="AF155" s="134"/>
      <c r="AG155" s="134"/>
      <c r="AH155" s="134"/>
      <c r="AI155" s="134">
        <v>75</v>
      </c>
      <c r="AJ155" s="134">
        <v>25</v>
      </c>
      <c r="AK155" s="134">
        <v>50</v>
      </c>
      <c r="AL155" s="770"/>
      <c r="AM155" s="770"/>
      <c r="AN155" s="770"/>
      <c r="AO155" s="134">
        <v>1168</v>
      </c>
      <c r="AP155" s="132">
        <v>1700</v>
      </c>
      <c r="AQ155" s="90"/>
      <c r="AR155" s="90" t="s">
        <v>1486</v>
      </c>
      <c r="AS155" s="123" t="s">
        <v>455</v>
      </c>
      <c r="AT155" s="123" t="s">
        <v>240</v>
      </c>
      <c r="AU155" s="91"/>
      <c r="AV155" s="600"/>
      <c r="AW155" s="840"/>
      <c r="AX155" s="840"/>
      <c r="AY155" s="840"/>
      <c r="AZ155" s="840"/>
      <c r="BA155" s="529"/>
      <c r="BB155" s="600"/>
      <c r="BC155" s="600"/>
      <c r="BD155" s="600"/>
      <c r="BE155" s="529"/>
      <c r="BF155" s="529"/>
      <c r="BG155" s="529"/>
      <c r="BH155" s="873"/>
      <c r="BI155" s="600"/>
      <c r="BJ155" s="201"/>
      <c r="BK155" s="201"/>
      <c r="BN155" s="7"/>
    </row>
    <row r="156" s="9" customFormat="1" ht="80.1" customHeight="1" spans="1:66">
      <c r="A156" s="23">
        <f>SUBTOTAL(3,C$9:C156)</f>
        <v>141</v>
      </c>
      <c r="B156" s="55" t="s">
        <v>1487</v>
      </c>
      <c r="C156" s="35" t="s">
        <v>79</v>
      </c>
      <c r="D156" s="55" t="s">
        <v>1488</v>
      </c>
      <c r="E156" s="35" t="s">
        <v>112</v>
      </c>
      <c r="F156" s="38">
        <v>10600</v>
      </c>
      <c r="G156" s="38"/>
      <c r="H156" s="83" t="s">
        <v>209</v>
      </c>
      <c r="I156" s="83"/>
      <c r="J156" s="83"/>
      <c r="K156" s="578">
        <v>2500</v>
      </c>
      <c r="L156" s="38">
        <v>4000</v>
      </c>
      <c r="M156" s="38"/>
      <c r="N156" s="34" t="s">
        <v>1489</v>
      </c>
      <c r="O156" s="133"/>
      <c r="P156" s="134"/>
      <c r="Q156" s="134"/>
      <c r="R156" s="134"/>
      <c r="S156" s="134"/>
      <c r="T156" s="134"/>
      <c r="U156" s="134"/>
      <c r="V156" s="134"/>
      <c r="W156" s="134"/>
      <c r="X156" s="90"/>
      <c r="Y156" s="90"/>
      <c r="Z156" s="895">
        <v>24.56</v>
      </c>
      <c r="AA156" s="895"/>
      <c r="AB156" s="895">
        <v>24.56</v>
      </c>
      <c r="AC156" s="895">
        <v>10.3</v>
      </c>
      <c r="AD156" s="895"/>
      <c r="AE156" s="895">
        <v>10.3</v>
      </c>
      <c r="AF156" s="895"/>
      <c r="AG156" s="895"/>
      <c r="AH156" s="895"/>
      <c r="AI156" s="895">
        <v>24.56</v>
      </c>
      <c r="AJ156" s="895"/>
      <c r="AK156" s="595"/>
      <c r="AL156" s="595"/>
      <c r="AM156" s="595"/>
      <c r="AN156" s="595"/>
      <c r="AO156" s="595"/>
      <c r="AP156" s="595"/>
      <c r="AQ156" s="90"/>
      <c r="AR156" s="112" t="s">
        <v>1490</v>
      </c>
      <c r="AS156" s="34" t="s">
        <v>504</v>
      </c>
      <c r="AT156" s="34" t="s">
        <v>504</v>
      </c>
      <c r="AU156" s="171"/>
      <c r="AV156" s="600"/>
      <c r="AW156" s="840"/>
      <c r="AX156" s="840"/>
      <c r="AY156" s="840"/>
      <c r="AZ156" s="840"/>
      <c r="BA156" s="529"/>
      <c r="BB156" s="600"/>
      <c r="BC156" s="600"/>
      <c r="BD156" s="600"/>
      <c r="BE156" s="529"/>
      <c r="BF156" s="529"/>
      <c r="BG156" s="529"/>
      <c r="BH156" s="873"/>
      <c r="BI156" s="600"/>
      <c r="BJ156" s="201"/>
      <c r="BK156" s="201"/>
      <c r="BN156" s="7"/>
    </row>
    <row r="157" s="9" customFormat="1" ht="80.1" customHeight="1" spans="1:66">
      <c r="A157" s="23">
        <f>SUBTOTAL(3,C$9:C157)</f>
        <v>142</v>
      </c>
      <c r="B157" s="717" t="s">
        <v>1491</v>
      </c>
      <c r="C157" s="35" t="s">
        <v>79</v>
      </c>
      <c r="D157" s="885" t="s">
        <v>1492</v>
      </c>
      <c r="E157" s="35" t="s">
        <v>112</v>
      </c>
      <c r="F157" s="886">
        <v>11000</v>
      </c>
      <c r="G157" s="886"/>
      <c r="H157" s="81" t="s">
        <v>131</v>
      </c>
      <c r="I157" s="81"/>
      <c r="J157" s="81"/>
      <c r="K157" s="81"/>
      <c r="L157" s="37">
        <v>3300</v>
      </c>
      <c r="M157" s="37"/>
      <c r="N157" s="58" t="s">
        <v>284</v>
      </c>
      <c r="O157" s="133"/>
      <c r="P157" s="134"/>
      <c r="Q157" s="134"/>
      <c r="R157" s="134"/>
      <c r="S157" s="134"/>
      <c r="T157" s="134"/>
      <c r="U157" s="134"/>
      <c r="V157" s="134"/>
      <c r="W157" s="134"/>
      <c r="X157" s="90"/>
      <c r="Y157" s="90"/>
      <c r="Z157" s="132">
        <v>200</v>
      </c>
      <c r="AA157" s="132"/>
      <c r="AB157" s="132">
        <v>200</v>
      </c>
      <c r="AC157" s="132"/>
      <c r="AD157" s="132"/>
      <c r="AE157" s="132"/>
      <c r="AF157" s="132"/>
      <c r="AG157" s="132"/>
      <c r="AH157" s="132"/>
      <c r="AI157" s="132"/>
      <c r="AJ157" s="132"/>
      <c r="AK157" s="595"/>
      <c r="AL157" s="595"/>
      <c r="AM157" s="595"/>
      <c r="AN157" s="595"/>
      <c r="AO157" s="595"/>
      <c r="AP157" s="595"/>
      <c r="AQ157" s="90"/>
      <c r="AR157" s="112" t="s">
        <v>117</v>
      </c>
      <c r="AS157" s="899" t="s">
        <v>1493</v>
      </c>
      <c r="AT157" s="879" t="s">
        <v>269</v>
      </c>
      <c r="AU157" s="171"/>
      <c r="AV157" s="600"/>
      <c r="AW157" s="840"/>
      <c r="AX157" s="840"/>
      <c r="AY157" s="840"/>
      <c r="AZ157" s="840"/>
      <c r="BA157" s="529"/>
      <c r="BB157" s="600"/>
      <c r="BC157" s="600"/>
      <c r="BD157" s="600"/>
      <c r="BE157" s="529"/>
      <c r="BF157" s="529"/>
      <c r="BG157" s="529"/>
      <c r="BH157" s="873"/>
      <c r="BI157" s="600"/>
      <c r="BJ157" s="201"/>
      <c r="BK157" s="201"/>
      <c r="BN157" s="7"/>
    </row>
    <row r="158" s="9" customFormat="1" ht="80.1" customHeight="1" spans="1:66">
      <c r="A158" s="23">
        <f>SUBTOTAL(3,C$9:C158)</f>
        <v>143</v>
      </c>
      <c r="B158" s="55" t="s">
        <v>1494</v>
      </c>
      <c r="C158" s="35" t="s">
        <v>79</v>
      </c>
      <c r="D158" s="55" t="s">
        <v>1495</v>
      </c>
      <c r="E158" s="35" t="s">
        <v>112</v>
      </c>
      <c r="F158" s="36">
        <v>7000</v>
      </c>
      <c r="G158" s="36"/>
      <c r="H158" s="81" t="s">
        <v>82</v>
      </c>
      <c r="I158" s="37"/>
      <c r="J158" s="37"/>
      <c r="K158" s="37">
        <v>400</v>
      </c>
      <c r="L158" s="36">
        <v>2000</v>
      </c>
      <c r="M158" s="36"/>
      <c r="N158" s="58" t="s">
        <v>284</v>
      </c>
      <c r="O158" s="133"/>
      <c r="P158" s="134"/>
      <c r="Q158" s="134"/>
      <c r="R158" s="134"/>
      <c r="S158" s="134"/>
      <c r="T158" s="134"/>
      <c r="U158" s="134"/>
      <c r="V158" s="134"/>
      <c r="W158" s="134"/>
      <c r="X158" s="90"/>
      <c r="Y158" s="90"/>
      <c r="Z158" s="134"/>
      <c r="AA158" s="134"/>
      <c r="AB158" s="134"/>
      <c r="AC158" s="134"/>
      <c r="AD158" s="134"/>
      <c r="AE158" s="134"/>
      <c r="AF158" s="134"/>
      <c r="AG158" s="134"/>
      <c r="AH158" s="134"/>
      <c r="AI158" s="134"/>
      <c r="AJ158" s="134"/>
      <c r="AK158" s="595"/>
      <c r="AL158" s="595"/>
      <c r="AM158" s="595"/>
      <c r="AN158" s="595"/>
      <c r="AO158" s="595"/>
      <c r="AP158" s="595"/>
      <c r="AQ158" s="90"/>
      <c r="AR158" s="66" t="s">
        <v>1170</v>
      </c>
      <c r="AS158" s="34" t="s">
        <v>1171</v>
      </c>
      <c r="AT158" s="879" t="s">
        <v>269</v>
      </c>
      <c r="AU158" s="171"/>
      <c r="AV158" s="600"/>
      <c r="AW158" s="840"/>
      <c r="AX158" s="840"/>
      <c r="AY158" s="840"/>
      <c r="AZ158" s="840"/>
      <c r="BA158" s="529"/>
      <c r="BB158" s="600"/>
      <c r="BC158" s="600"/>
      <c r="BD158" s="600"/>
      <c r="BE158" s="529"/>
      <c r="BF158" s="529"/>
      <c r="BG158" s="529"/>
      <c r="BH158" s="873"/>
      <c r="BI158" s="600"/>
      <c r="BJ158" s="201"/>
      <c r="BK158" s="201"/>
      <c r="BN158" s="7"/>
    </row>
    <row r="159" s="9" customFormat="1" ht="80.1" customHeight="1" spans="1:66">
      <c r="A159" s="23">
        <f>SUBTOTAL(3,C$9:C159)</f>
        <v>144</v>
      </c>
      <c r="B159" s="697" t="s">
        <v>1496</v>
      </c>
      <c r="C159" s="81" t="s">
        <v>79</v>
      </c>
      <c r="D159" s="697" t="s">
        <v>1497</v>
      </c>
      <c r="E159" s="81" t="s">
        <v>81</v>
      </c>
      <c r="F159" s="37">
        <v>5421</v>
      </c>
      <c r="G159" s="37"/>
      <c r="H159" s="81" t="s">
        <v>131</v>
      </c>
      <c r="I159" s="81"/>
      <c r="J159" s="81"/>
      <c r="K159" s="81"/>
      <c r="L159" s="37">
        <v>1000</v>
      </c>
      <c r="M159" s="37"/>
      <c r="N159" s="58" t="s">
        <v>284</v>
      </c>
      <c r="O159" s="133"/>
      <c r="P159" s="134"/>
      <c r="Q159" s="134"/>
      <c r="R159" s="134"/>
      <c r="S159" s="134"/>
      <c r="T159" s="134"/>
      <c r="U159" s="134"/>
      <c r="V159" s="134"/>
      <c r="W159" s="134"/>
      <c r="X159" s="90"/>
      <c r="Y159" s="90"/>
      <c r="Z159" s="132">
        <v>98</v>
      </c>
      <c r="AA159" s="132"/>
      <c r="AB159" s="132">
        <v>98</v>
      </c>
      <c r="AC159" s="134"/>
      <c r="AD159" s="134"/>
      <c r="AE159" s="134"/>
      <c r="AF159" s="134"/>
      <c r="AG159" s="134"/>
      <c r="AH159" s="134"/>
      <c r="AI159" s="134"/>
      <c r="AJ159" s="134"/>
      <c r="AK159" s="595"/>
      <c r="AL159" s="595"/>
      <c r="AM159" s="595"/>
      <c r="AN159" s="595"/>
      <c r="AO159" s="595"/>
      <c r="AP159" s="595"/>
      <c r="AQ159" s="90"/>
      <c r="AR159" s="66" t="s">
        <v>1170</v>
      </c>
      <c r="AS159" s="900" t="s">
        <v>1493</v>
      </c>
      <c r="AT159" s="879" t="s">
        <v>269</v>
      </c>
      <c r="AU159" s="171"/>
      <c r="AV159" s="600"/>
      <c r="AW159" s="840"/>
      <c r="AX159" s="840"/>
      <c r="AY159" s="840"/>
      <c r="AZ159" s="840"/>
      <c r="BA159" s="529"/>
      <c r="BB159" s="600"/>
      <c r="BC159" s="600"/>
      <c r="BD159" s="600"/>
      <c r="BE159" s="529"/>
      <c r="BF159" s="529"/>
      <c r="BG159" s="529"/>
      <c r="BH159" s="873"/>
      <c r="BI159" s="600"/>
      <c r="BJ159" s="201"/>
      <c r="BK159" s="201"/>
      <c r="BN159" s="7"/>
    </row>
    <row r="160" s="9" customFormat="1" ht="80.1" customHeight="1" spans="1:66">
      <c r="A160" s="23">
        <f>SUBTOTAL(3,C$9:C160)</f>
        <v>145</v>
      </c>
      <c r="B160" s="55" t="s">
        <v>1498</v>
      </c>
      <c r="C160" s="35" t="s">
        <v>79</v>
      </c>
      <c r="D160" s="55" t="s">
        <v>1499</v>
      </c>
      <c r="E160" s="35">
        <v>2019</v>
      </c>
      <c r="F160" s="876">
        <v>1823</v>
      </c>
      <c r="G160" s="876"/>
      <c r="H160" s="67" t="s">
        <v>353</v>
      </c>
      <c r="I160" s="67">
        <v>360</v>
      </c>
      <c r="J160" s="67">
        <v>800</v>
      </c>
      <c r="K160" s="67">
        <v>1400</v>
      </c>
      <c r="L160" s="257">
        <v>1823</v>
      </c>
      <c r="M160" s="257"/>
      <c r="N160" s="112" t="s">
        <v>1319</v>
      </c>
      <c r="O160" s="133"/>
      <c r="P160" s="134"/>
      <c r="Q160" s="134"/>
      <c r="R160" s="134"/>
      <c r="S160" s="134"/>
      <c r="T160" s="134"/>
      <c r="U160" s="134"/>
      <c r="V160" s="134"/>
      <c r="W160" s="134"/>
      <c r="X160" s="90"/>
      <c r="Y160" s="90"/>
      <c r="Z160" s="132">
        <v>98</v>
      </c>
      <c r="AA160" s="132"/>
      <c r="AB160" s="132">
        <v>98</v>
      </c>
      <c r="AC160" s="134"/>
      <c r="AD160" s="134"/>
      <c r="AE160" s="134"/>
      <c r="AF160" s="134"/>
      <c r="AG160" s="134"/>
      <c r="AH160" s="134"/>
      <c r="AI160" s="134"/>
      <c r="AJ160" s="134"/>
      <c r="AK160" s="595"/>
      <c r="AL160" s="595"/>
      <c r="AM160" s="595"/>
      <c r="AN160" s="595"/>
      <c r="AO160" s="595"/>
      <c r="AP160" s="595"/>
      <c r="AQ160" s="90"/>
      <c r="AR160" s="112" t="s">
        <v>117</v>
      </c>
      <c r="AS160" s="900" t="s">
        <v>1311</v>
      </c>
      <c r="AT160" s="879" t="s">
        <v>269</v>
      </c>
      <c r="AU160" s="171"/>
      <c r="AV160" s="600"/>
      <c r="AW160" s="840"/>
      <c r="AX160" s="840"/>
      <c r="AY160" s="840"/>
      <c r="AZ160" s="840"/>
      <c r="BA160" s="529"/>
      <c r="BB160" s="600"/>
      <c r="BC160" s="600"/>
      <c r="BD160" s="600"/>
      <c r="BE160" s="529"/>
      <c r="BF160" s="529"/>
      <c r="BG160" s="529"/>
      <c r="BH160" s="873"/>
      <c r="BI160" s="600"/>
      <c r="BJ160" s="201"/>
      <c r="BK160" s="201"/>
      <c r="BN160" s="7"/>
    </row>
    <row r="161" s="9" customFormat="1" ht="109.5" customHeight="1" spans="1:66">
      <c r="A161" s="23">
        <f>SUBTOTAL(3,C$9:C161)</f>
        <v>146</v>
      </c>
      <c r="B161" s="55" t="s">
        <v>1500</v>
      </c>
      <c r="C161" s="35" t="s">
        <v>562</v>
      </c>
      <c r="D161" s="34" t="s">
        <v>1501</v>
      </c>
      <c r="E161" s="35" t="s">
        <v>575</v>
      </c>
      <c r="F161" s="36">
        <v>6962</v>
      </c>
      <c r="G161" s="36">
        <v>500</v>
      </c>
      <c r="H161" s="134"/>
      <c r="I161" s="37">
        <v>50</v>
      </c>
      <c r="J161" s="37">
        <v>200</v>
      </c>
      <c r="K161" s="37">
        <v>800</v>
      </c>
      <c r="L161" s="36">
        <v>1000</v>
      </c>
      <c r="M161" s="134"/>
      <c r="N161" s="131" t="s">
        <v>1502</v>
      </c>
      <c r="O161" s="133"/>
      <c r="P161" s="134"/>
      <c r="Q161" s="134"/>
      <c r="R161" s="134"/>
      <c r="S161" s="134"/>
      <c r="T161" s="134"/>
      <c r="U161" s="134"/>
      <c r="V161" s="134"/>
      <c r="W161" s="134"/>
      <c r="X161" s="90"/>
      <c r="Y161" s="90"/>
      <c r="Z161" s="132"/>
      <c r="AA161" s="132"/>
      <c r="AB161" s="132"/>
      <c r="AC161" s="132"/>
      <c r="AD161" s="132"/>
      <c r="AE161" s="132"/>
      <c r="AF161" s="132"/>
      <c r="AG161" s="132"/>
      <c r="AH161" s="132"/>
      <c r="AI161" s="132"/>
      <c r="AJ161" s="132"/>
      <c r="AK161" s="132"/>
      <c r="AL161" s="595"/>
      <c r="AM161" s="595"/>
      <c r="AN161" s="595"/>
      <c r="AO161" s="595"/>
      <c r="AP161" s="595"/>
      <c r="AQ161" s="90"/>
      <c r="AR161" s="112" t="s">
        <v>117</v>
      </c>
      <c r="AS161" s="900" t="s">
        <v>1503</v>
      </c>
      <c r="AT161" s="34" t="s">
        <v>269</v>
      </c>
      <c r="AU161" s="91"/>
      <c r="AV161" s="600"/>
      <c r="AW161" s="840"/>
      <c r="AX161" s="840"/>
      <c r="AY161" s="840"/>
      <c r="AZ161" s="840"/>
      <c r="BA161" s="529"/>
      <c r="BB161" s="600"/>
      <c r="BC161" s="600"/>
      <c r="BD161" s="600"/>
      <c r="BE161" s="529"/>
      <c r="BF161" s="529"/>
      <c r="BG161" s="529"/>
      <c r="BH161" s="873"/>
      <c r="BI161" s="600"/>
      <c r="BJ161" s="201"/>
      <c r="BK161" s="201"/>
      <c r="BN161" s="7"/>
    </row>
    <row r="162" s="9" customFormat="1" ht="96.75" customHeight="1" spans="1:66">
      <c r="A162" s="23">
        <f>SUBTOTAL(3,C$9:C162)</f>
        <v>147</v>
      </c>
      <c r="B162" s="55" t="s">
        <v>1504</v>
      </c>
      <c r="C162" s="35" t="s">
        <v>810</v>
      </c>
      <c r="D162" s="34" t="s">
        <v>1505</v>
      </c>
      <c r="E162" s="35" t="s">
        <v>812</v>
      </c>
      <c r="F162" s="36">
        <v>5030</v>
      </c>
      <c r="G162" s="36">
        <v>3000</v>
      </c>
      <c r="H162" s="81" t="s">
        <v>122</v>
      </c>
      <c r="I162" s="37">
        <v>300</v>
      </c>
      <c r="J162" s="37">
        <v>730</v>
      </c>
      <c r="K162" s="37">
        <v>1030</v>
      </c>
      <c r="L162" s="36">
        <v>1030</v>
      </c>
      <c r="M162" s="134"/>
      <c r="N162" s="123" t="s">
        <v>971</v>
      </c>
      <c r="O162" s="133"/>
      <c r="P162" s="134"/>
      <c r="Q162" s="134"/>
      <c r="R162" s="134"/>
      <c r="S162" s="134"/>
      <c r="T162" s="134"/>
      <c r="U162" s="134"/>
      <c r="V162" s="134"/>
      <c r="W162" s="134"/>
      <c r="X162" s="90"/>
      <c r="Y162" s="90"/>
      <c r="Z162" s="132"/>
      <c r="AA162" s="132"/>
      <c r="AB162" s="132"/>
      <c r="AC162" s="132"/>
      <c r="AD162" s="132"/>
      <c r="AE162" s="132"/>
      <c r="AF162" s="132"/>
      <c r="AG162" s="132"/>
      <c r="AH162" s="132"/>
      <c r="AI162" s="132"/>
      <c r="AJ162" s="132"/>
      <c r="AK162" s="132"/>
      <c r="AL162" s="595"/>
      <c r="AM162" s="595"/>
      <c r="AN162" s="595"/>
      <c r="AO162" s="595"/>
      <c r="AP162" s="595"/>
      <c r="AQ162" s="90"/>
      <c r="AR162" s="112" t="s">
        <v>117</v>
      </c>
      <c r="AS162" s="900" t="s">
        <v>1503</v>
      </c>
      <c r="AT162" s="34" t="s">
        <v>269</v>
      </c>
      <c r="AU162" s="91"/>
      <c r="AV162" s="600"/>
      <c r="AW162" s="840"/>
      <c r="AX162" s="840"/>
      <c r="AY162" s="840"/>
      <c r="AZ162" s="840"/>
      <c r="BA162" s="529"/>
      <c r="BB162" s="600"/>
      <c r="BC162" s="600"/>
      <c r="BD162" s="600"/>
      <c r="BE162" s="529"/>
      <c r="BF162" s="529"/>
      <c r="BG162" s="529"/>
      <c r="BH162" s="873"/>
      <c r="BI162" s="600"/>
      <c r="BJ162" s="201"/>
      <c r="BK162" s="201"/>
      <c r="BN162" s="7"/>
    </row>
    <row r="163" s="9" customFormat="1" ht="84.75" customHeight="1" spans="1:66">
      <c r="A163" s="23">
        <f>SUBTOTAL(3,C$9:C163)</f>
        <v>148</v>
      </c>
      <c r="B163" s="829" t="s">
        <v>1506</v>
      </c>
      <c r="C163" s="35" t="s">
        <v>79</v>
      </c>
      <c r="D163" s="232" t="s">
        <v>1507</v>
      </c>
      <c r="E163" s="35" t="s">
        <v>112</v>
      </c>
      <c r="F163" s="35">
        <v>15028</v>
      </c>
      <c r="G163" s="35"/>
      <c r="H163" s="83" t="s">
        <v>122</v>
      </c>
      <c r="I163" s="83"/>
      <c r="J163" s="83"/>
      <c r="K163" s="578">
        <v>1000</v>
      </c>
      <c r="L163" s="35">
        <v>3000</v>
      </c>
      <c r="M163" s="35"/>
      <c r="N163" s="34" t="s">
        <v>1508</v>
      </c>
      <c r="O163" s="133"/>
      <c r="P163" s="134"/>
      <c r="Q163" s="134"/>
      <c r="R163" s="134"/>
      <c r="S163" s="134"/>
      <c r="T163" s="134"/>
      <c r="U163" s="134"/>
      <c r="V163" s="134"/>
      <c r="W163" s="134"/>
      <c r="X163" s="90"/>
      <c r="Y163" s="90"/>
      <c r="Z163" s="132">
        <v>262.2</v>
      </c>
      <c r="AA163" s="132"/>
      <c r="AB163" s="132">
        <v>262.2</v>
      </c>
      <c r="AC163" s="132">
        <v>426</v>
      </c>
      <c r="AD163" s="132">
        <v>425.727</v>
      </c>
      <c r="AE163" s="132"/>
      <c r="AF163" s="132"/>
      <c r="AG163" s="132"/>
      <c r="AH163" s="132"/>
      <c r="AI163" s="132"/>
      <c r="AJ163" s="132"/>
      <c r="AK163" s="595"/>
      <c r="AL163" s="595"/>
      <c r="AM163" s="595"/>
      <c r="AN163" s="595"/>
      <c r="AO163" s="595"/>
      <c r="AP163" s="595"/>
      <c r="AQ163" s="90"/>
      <c r="AR163" s="112" t="s">
        <v>1509</v>
      </c>
      <c r="AS163" s="34" t="s">
        <v>785</v>
      </c>
      <c r="AT163" s="34" t="s">
        <v>317</v>
      </c>
      <c r="AU163" s="171"/>
      <c r="AV163" s="600"/>
      <c r="AW163" s="840"/>
      <c r="AX163" s="840"/>
      <c r="AY163" s="840"/>
      <c r="AZ163" s="840"/>
      <c r="BA163" s="529"/>
      <c r="BB163" s="600"/>
      <c r="BC163" s="600"/>
      <c r="BD163" s="600"/>
      <c r="BE163" s="529"/>
      <c r="BF163" s="529"/>
      <c r="BG163" s="529"/>
      <c r="BH163" s="873"/>
      <c r="BI163" s="600"/>
      <c r="BJ163" s="201"/>
      <c r="BK163" s="201"/>
      <c r="BN163" s="7"/>
    </row>
    <row r="164" s="9" customFormat="1" ht="80.1" customHeight="1" spans="1:66">
      <c r="A164" s="23">
        <f>SUBTOTAL(3,C$9:C164)</f>
        <v>149</v>
      </c>
      <c r="B164" s="55" t="s">
        <v>1510</v>
      </c>
      <c r="C164" s="35" t="s">
        <v>562</v>
      </c>
      <c r="D164" s="232" t="s">
        <v>1511</v>
      </c>
      <c r="E164" s="35" t="s">
        <v>575</v>
      </c>
      <c r="F164" s="35">
        <v>8803</v>
      </c>
      <c r="G164" s="35">
        <v>500</v>
      </c>
      <c r="H164" s="134"/>
      <c r="I164" s="67">
        <v>500</v>
      </c>
      <c r="J164" s="67">
        <v>1300</v>
      </c>
      <c r="K164" s="67">
        <v>2100</v>
      </c>
      <c r="L164" s="35">
        <v>3000</v>
      </c>
      <c r="M164" s="134"/>
      <c r="N164" s="123" t="s">
        <v>1512</v>
      </c>
      <c r="O164" s="133"/>
      <c r="P164" s="134"/>
      <c r="Q164" s="134"/>
      <c r="R164" s="134"/>
      <c r="S164" s="134"/>
      <c r="T164" s="134"/>
      <c r="U164" s="134"/>
      <c r="V164" s="134"/>
      <c r="W164" s="134"/>
      <c r="X164" s="90"/>
      <c r="Y164" s="90"/>
      <c r="Z164" s="132">
        <v>224.25</v>
      </c>
      <c r="AA164" s="132"/>
      <c r="AB164" s="132">
        <v>224.25</v>
      </c>
      <c r="AC164" s="132"/>
      <c r="AD164" s="132"/>
      <c r="AE164" s="132"/>
      <c r="AF164" s="132"/>
      <c r="AG164" s="132"/>
      <c r="AH164" s="132"/>
      <c r="AI164" s="132"/>
      <c r="AJ164" s="132"/>
      <c r="AK164" s="132"/>
      <c r="AL164" s="595"/>
      <c r="AM164" s="595"/>
      <c r="AN164" s="595"/>
      <c r="AO164" s="595"/>
      <c r="AP164" s="76"/>
      <c r="AQ164" s="90"/>
      <c r="AR164" s="90" t="s">
        <v>1513</v>
      </c>
      <c r="AS164" s="34" t="s">
        <v>785</v>
      </c>
      <c r="AT164" s="34" t="s">
        <v>317</v>
      </c>
      <c r="AU164" s="91"/>
      <c r="AV164" s="600"/>
      <c r="AW164" s="840"/>
      <c r="AX164" s="840"/>
      <c r="AY164" s="840"/>
      <c r="AZ164" s="840"/>
      <c r="BA164" s="529"/>
      <c r="BB164" s="600"/>
      <c r="BC164" s="600"/>
      <c r="BD164" s="600"/>
      <c r="BE164" s="529"/>
      <c r="BF164" s="529"/>
      <c r="BG164" s="529"/>
      <c r="BH164" s="873"/>
      <c r="BI164" s="600"/>
      <c r="BJ164" s="201"/>
      <c r="BK164" s="201"/>
      <c r="BN164" s="7"/>
    </row>
    <row r="165" s="9" customFormat="1" ht="80.1" customHeight="1" spans="1:66">
      <c r="A165" s="23">
        <f>SUBTOTAL(3,C$9:C165)</f>
        <v>150</v>
      </c>
      <c r="B165" s="55" t="s">
        <v>1514</v>
      </c>
      <c r="C165" s="35" t="s">
        <v>562</v>
      </c>
      <c r="D165" s="55" t="s">
        <v>1515</v>
      </c>
      <c r="E165" s="35" t="s">
        <v>575</v>
      </c>
      <c r="F165" s="127">
        <v>6632</v>
      </c>
      <c r="G165" s="35">
        <v>3200</v>
      </c>
      <c r="H165" s="134"/>
      <c r="I165" s="67">
        <v>500</v>
      </c>
      <c r="J165" s="67">
        <v>1000</v>
      </c>
      <c r="K165" s="67">
        <v>1500</v>
      </c>
      <c r="L165" s="35">
        <v>2000</v>
      </c>
      <c r="M165" s="134"/>
      <c r="N165" s="123" t="s">
        <v>1516</v>
      </c>
      <c r="O165" s="133"/>
      <c r="P165" s="134"/>
      <c r="Q165" s="134"/>
      <c r="R165" s="134"/>
      <c r="S165" s="134"/>
      <c r="T165" s="134"/>
      <c r="U165" s="134"/>
      <c r="V165" s="134"/>
      <c r="W165" s="134"/>
      <c r="X165" s="90"/>
      <c r="Y165" s="90"/>
      <c r="Z165" s="134">
        <v>15</v>
      </c>
      <c r="AA165" s="134">
        <v>9</v>
      </c>
      <c r="AB165" s="134">
        <v>6</v>
      </c>
      <c r="AC165" s="134"/>
      <c r="AD165" s="134"/>
      <c r="AE165" s="134"/>
      <c r="AF165" s="134"/>
      <c r="AG165" s="99"/>
      <c r="AH165" s="99"/>
      <c r="AI165" s="330">
        <v>15</v>
      </c>
      <c r="AJ165" s="330">
        <v>9</v>
      </c>
      <c r="AK165" s="330">
        <v>6</v>
      </c>
      <c r="AL165" s="552"/>
      <c r="AM165" s="330"/>
      <c r="AN165" s="730"/>
      <c r="AO165" s="552">
        <v>3632</v>
      </c>
      <c r="AP165" s="552">
        <v>3000</v>
      </c>
      <c r="AQ165" s="90"/>
      <c r="AR165" s="90" t="s">
        <v>117</v>
      </c>
      <c r="AS165" s="34" t="s">
        <v>1517</v>
      </c>
      <c r="AT165" s="34" t="s">
        <v>317</v>
      </c>
      <c r="AU165" s="91"/>
      <c r="AV165" s="600"/>
      <c r="AW165" s="840"/>
      <c r="AX165" s="840"/>
      <c r="AY165" s="840"/>
      <c r="AZ165" s="840"/>
      <c r="BA165" s="529"/>
      <c r="BB165" s="600"/>
      <c r="BC165" s="600"/>
      <c r="BD165" s="600"/>
      <c r="BE165" s="529"/>
      <c r="BF165" s="529"/>
      <c r="BG165" s="529"/>
      <c r="BH165" s="873"/>
      <c r="BI165" s="600"/>
      <c r="BJ165" s="201"/>
      <c r="BK165" s="201"/>
      <c r="BN165" s="7"/>
    </row>
    <row r="166" s="9" customFormat="1" ht="80.1" customHeight="1" spans="1:66">
      <c r="A166" s="23">
        <f>SUBTOTAL(3,C$9:C166)</f>
        <v>151</v>
      </c>
      <c r="B166" s="55" t="s">
        <v>1518</v>
      </c>
      <c r="C166" s="35" t="s">
        <v>562</v>
      </c>
      <c r="D166" s="55" t="s">
        <v>1519</v>
      </c>
      <c r="E166" s="35" t="s">
        <v>575</v>
      </c>
      <c r="F166" s="127">
        <v>5804</v>
      </c>
      <c r="G166" s="35">
        <v>3300</v>
      </c>
      <c r="H166" s="134"/>
      <c r="I166" s="67">
        <v>500</v>
      </c>
      <c r="J166" s="67">
        <v>1000</v>
      </c>
      <c r="K166" s="67">
        <v>1500</v>
      </c>
      <c r="L166" s="35">
        <v>1500</v>
      </c>
      <c r="M166" s="134"/>
      <c r="N166" s="123" t="s">
        <v>1520</v>
      </c>
      <c r="O166" s="133"/>
      <c r="P166" s="134"/>
      <c r="Q166" s="134"/>
      <c r="R166" s="134"/>
      <c r="S166" s="134"/>
      <c r="T166" s="134"/>
      <c r="U166" s="134"/>
      <c r="V166" s="134"/>
      <c r="W166" s="134"/>
      <c r="X166" s="90"/>
      <c r="Y166" s="90"/>
      <c r="Z166" s="132">
        <v>9</v>
      </c>
      <c r="AA166" s="132">
        <v>6</v>
      </c>
      <c r="AB166" s="132">
        <v>3</v>
      </c>
      <c r="AC166" s="132"/>
      <c r="AD166" s="132"/>
      <c r="AE166" s="132"/>
      <c r="AF166" s="132"/>
      <c r="AG166" s="99"/>
      <c r="AH166" s="99"/>
      <c r="AI166" s="330">
        <v>9</v>
      </c>
      <c r="AJ166" s="330">
        <v>6</v>
      </c>
      <c r="AK166" s="330">
        <v>3</v>
      </c>
      <c r="AL166" s="552"/>
      <c r="AM166" s="330"/>
      <c r="AN166" s="730"/>
      <c r="AO166" s="552">
        <v>3804</v>
      </c>
      <c r="AP166" s="552">
        <v>2000</v>
      </c>
      <c r="AQ166" s="90"/>
      <c r="AR166" s="90" t="s">
        <v>117</v>
      </c>
      <c r="AS166" s="34" t="s">
        <v>1517</v>
      </c>
      <c r="AT166" s="34" t="s">
        <v>317</v>
      </c>
      <c r="AU166" s="91"/>
      <c r="AV166" s="600"/>
      <c r="AW166" s="840"/>
      <c r="AX166" s="840"/>
      <c r="AY166" s="840"/>
      <c r="AZ166" s="840"/>
      <c r="BA166" s="529"/>
      <c r="BB166" s="600"/>
      <c r="BC166" s="600"/>
      <c r="BD166" s="600"/>
      <c r="BE166" s="529"/>
      <c r="BF166" s="529"/>
      <c r="BG166" s="529"/>
      <c r="BH166" s="873"/>
      <c r="BI166" s="600"/>
      <c r="BJ166" s="201"/>
      <c r="BK166" s="201"/>
      <c r="BN166" s="7"/>
    </row>
    <row r="167" ht="90" customHeight="1" spans="1:47">
      <c r="A167" s="23">
        <f>SUBTOTAL(3,C$9:C167)</f>
        <v>152</v>
      </c>
      <c r="B167" s="55" t="s">
        <v>1521</v>
      </c>
      <c r="C167" s="35" t="s">
        <v>810</v>
      </c>
      <c r="D167" s="34" t="s">
        <v>1522</v>
      </c>
      <c r="E167" s="23" t="s">
        <v>812</v>
      </c>
      <c r="F167" s="127">
        <v>14804</v>
      </c>
      <c r="G167" s="67">
        <v>4520</v>
      </c>
      <c r="H167" s="81" t="s">
        <v>113</v>
      </c>
      <c r="I167" s="37">
        <v>2000</v>
      </c>
      <c r="J167" s="37">
        <v>3000</v>
      </c>
      <c r="K167" s="37">
        <v>3227</v>
      </c>
      <c r="L167" s="36">
        <v>10284</v>
      </c>
      <c r="M167" s="36"/>
      <c r="N167" s="123" t="s">
        <v>971</v>
      </c>
      <c r="O167" s="133"/>
      <c r="P167" s="134"/>
      <c r="Q167" s="37"/>
      <c r="R167" s="37"/>
      <c r="S167" s="37"/>
      <c r="T167" s="37"/>
      <c r="U167" s="37"/>
      <c r="V167" s="37"/>
      <c r="W167" s="37"/>
      <c r="X167" s="585"/>
      <c r="Y167" s="585"/>
      <c r="Z167" s="132">
        <v>10284</v>
      </c>
      <c r="AA167" s="132">
        <v>10284</v>
      </c>
      <c r="AB167" s="770"/>
      <c r="AC167" s="770"/>
      <c r="AD167" s="770"/>
      <c r="AE167" s="770"/>
      <c r="AF167" s="770"/>
      <c r="AG167" s="770"/>
      <c r="AH167" s="770"/>
      <c r="AI167" s="770"/>
      <c r="AJ167" s="770"/>
      <c r="AK167" s="770"/>
      <c r="AL167" s="770"/>
      <c r="AM167" s="770"/>
      <c r="AN167" s="770"/>
      <c r="AO167" s="770"/>
      <c r="AP167" s="770"/>
      <c r="AQ167" s="585"/>
      <c r="AR167" s="34" t="s">
        <v>117</v>
      </c>
      <c r="AS167" s="34" t="s">
        <v>1523</v>
      </c>
      <c r="AT167" s="34" t="s">
        <v>317</v>
      </c>
      <c r="AU167" s="270"/>
    </row>
    <row r="168" s="9" customFormat="1" ht="80.1" customHeight="1" spans="1:66">
      <c r="A168" s="23">
        <f>SUBTOTAL(3,C$9:C168)</f>
        <v>153</v>
      </c>
      <c r="B168" s="60" t="s">
        <v>1524</v>
      </c>
      <c r="C168" s="59" t="s">
        <v>79</v>
      </c>
      <c r="D168" s="60" t="s">
        <v>1525</v>
      </c>
      <c r="E168" s="23" t="s">
        <v>81</v>
      </c>
      <c r="F168" s="67">
        <v>20374</v>
      </c>
      <c r="G168" s="67"/>
      <c r="H168" s="67" t="s">
        <v>263</v>
      </c>
      <c r="I168" s="67"/>
      <c r="J168" s="67"/>
      <c r="K168" s="67">
        <v>2500</v>
      </c>
      <c r="L168" s="67">
        <v>4000</v>
      </c>
      <c r="M168" s="67"/>
      <c r="N168" s="123" t="s">
        <v>1526</v>
      </c>
      <c r="O168" s="133"/>
      <c r="P168" s="134"/>
      <c r="Q168" s="134"/>
      <c r="R168" s="134"/>
      <c r="S168" s="134"/>
      <c r="T168" s="134"/>
      <c r="U168" s="134"/>
      <c r="V168" s="134"/>
      <c r="W168" s="134"/>
      <c r="X168" s="90"/>
      <c r="Y168" s="90"/>
      <c r="Z168" s="134"/>
      <c r="AA168" s="134"/>
      <c r="AB168" s="134"/>
      <c r="AC168" s="134"/>
      <c r="AD168" s="134"/>
      <c r="AE168" s="134"/>
      <c r="AF168" s="134"/>
      <c r="AG168" s="134"/>
      <c r="AH168" s="134"/>
      <c r="AI168" s="134"/>
      <c r="AJ168" s="134"/>
      <c r="AK168" s="595"/>
      <c r="AL168" s="595"/>
      <c r="AM168" s="595"/>
      <c r="AN168" s="595"/>
      <c r="AO168" s="595"/>
      <c r="AP168" s="595"/>
      <c r="AQ168" s="90"/>
      <c r="AR168" s="244" t="s">
        <v>1527</v>
      </c>
      <c r="AS168" s="123" t="s">
        <v>1528</v>
      </c>
      <c r="AT168" s="34" t="s">
        <v>359</v>
      </c>
      <c r="AU168" s="171"/>
      <c r="AV168" s="600"/>
      <c r="AW168" s="840"/>
      <c r="AX168" s="840"/>
      <c r="AY168" s="840"/>
      <c r="AZ168" s="840"/>
      <c r="BA168" s="529"/>
      <c r="BB168" s="600"/>
      <c r="BC168" s="600"/>
      <c r="BD168" s="600"/>
      <c r="BE168" s="529"/>
      <c r="BF168" s="529"/>
      <c r="BG168" s="529"/>
      <c r="BH168" s="873"/>
      <c r="BI168" s="600"/>
      <c r="BJ168" s="201"/>
      <c r="BK168" s="201"/>
      <c r="BN168" s="7"/>
    </row>
    <row r="169" s="9" customFormat="1" ht="80.1" customHeight="1" spans="1:66">
      <c r="A169" s="23">
        <f>SUBTOTAL(3,C$9:C169)</f>
        <v>154</v>
      </c>
      <c r="B169" s="233" t="s">
        <v>1529</v>
      </c>
      <c r="C169" s="87" t="s">
        <v>79</v>
      </c>
      <c r="D169" s="233" t="s">
        <v>1530</v>
      </c>
      <c r="E169" s="87" t="s">
        <v>143</v>
      </c>
      <c r="F169" s="87">
        <v>6831</v>
      </c>
      <c r="G169" s="87"/>
      <c r="H169" s="81" t="s">
        <v>82</v>
      </c>
      <c r="I169" s="81"/>
      <c r="J169" s="81"/>
      <c r="K169" s="81"/>
      <c r="L169" s="87">
        <v>2000</v>
      </c>
      <c r="M169" s="87"/>
      <c r="N169" s="86" t="s">
        <v>1531</v>
      </c>
      <c r="O169" s="133"/>
      <c r="P169" s="134"/>
      <c r="Q169" s="134"/>
      <c r="R169" s="134"/>
      <c r="S169" s="134"/>
      <c r="T169" s="134"/>
      <c r="U169" s="134"/>
      <c r="V169" s="134"/>
      <c r="W169" s="134"/>
      <c r="X169" s="90"/>
      <c r="Y169" s="90"/>
      <c r="Z169" s="261">
        <v>239</v>
      </c>
      <c r="AA169" s="261"/>
      <c r="AB169" s="261">
        <v>239</v>
      </c>
      <c r="AC169" s="261">
        <v>40</v>
      </c>
      <c r="AD169" s="261"/>
      <c r="AE169" s="261">
        <v>40</v>
      </c>
      <c r="AF169" s="261">
        <v>40</v>
      </c>
      <c r="AG169" s="261"/>
      <c r="AH169" s="261">
        <v>40</v>
      </c>
      <c r="AI169" s="261">
        <v>58</v>
      </c>
      <c r="AJ169" s="261"/>
      <c r="AK169" s="595"/>
      <c r="AL169" s="595"/>
      <c r="AM169" s="595"/>
      <c r="AN169" s="595"/>
      <c r="AO169" s="595"/>
      <c r="AP169" s="595"/>
      <c r="AQ169" s="90"/>
      <c r="AR169" s="86" t="s">
        <v>1532</v>
      </c>
      <c r="AS169" s="123" t="s">
        <v>1533</v>
      </c>
      <c r="AT169" s="34" t="s">
        <v>359</v>
      </c>
      <c r="AU169" s="171"/>
      <c r="AV169" s="600"/>
      <c r="AW169" s="840"/>
      <c r="AX169" s="840"/>
      <c r="AY169" s="840"/>
      <c r="AZ169" s="840"/>
      <c r="BA169" s="529"/>
      <c r="BB169" s="600"/>
      <c r="BC169" s="600"/>
      <c r="BD169" s="600"/>
      <c r="BE169" s="529"/>
      <c r="BF169" s="529"/>
      <c r="BG169" s="529"/>
      <c r="BH169" s="873"/>
      <c r="BI169" s="600"/>
      <c r="BJ169" s="201"/>
      <c r="BK169" s="201"/>
      <c r="BN169" s="7"/>
    </row>
    <row r="170" s="9" customFormat="1" ht="80.1" customHeight="1" spans="1:66">
      <c r="A170" s="23">
        <f>SUBTOTAL(3,C$9:C170)</f>
        <v>155</v>
      </c>
      <c r="B170" s="55" t="s">
        <v>1534</v>
      </c>
      <c r="C170" s="35" t="s">
        <v>562</v>
      </c>
      <c r="D170" s="55" t="s">
        <v>1535</v>
      </c>
      <c r="E170" s="35" t="s">
        <v>1049</v>
      </c>
      <c r="F170" s="36">
        <v>14819</v>
      </c>
      <c r="G170" s="36">
        <v>9213</v>
      </c>
      <c r="H170" s="134"/>
      <c r="I170" s="36">
        <v>250</v>
      </c>
      <c r="J170" s="36">
        <v>500</v>
      </c>
      <c r="K170" s="36">
        <v>750</v>
      </c>
      <c r="L170" s="36">
        <v>1000</v>
      </c>
      <c r="M170" s="134"/>
      <c r="N170" s="123" t="s">
        <v>1536</v>
      </c>
      <c r="O170" s="133"/>
      <c r="P170" s="134"/>
      <c r="Q170" s="134"/>
      <c r="R170" s="134"/>
      <c r="S170" s="134"/>
      <c r="T170" s="134"/>
      <c r="U170" s="134"/>
      <c r="V170" s="134"/>
      <c r="W170" s="134"/>
      <c r="X170" s="90"/>
      <c r="Y170" s="90"/>
      <c r="Z170" s="132">
        <v>280</v>
      </c>
      <c r="AA170" s="132">
        <v>250</v>
      </c>
      <c r="AB170" s="132">
        <v>30</v>
      </c>
      <c r="AC170" s="132">
        <v>100</v>
      </c>
      <c r="AD170" s="132">
        <v>100</v>
      </c>
      <c r="AE170" s="132"/>
      <c r="AF170" s="132">
        <v>75</v>
      </c>
      <c r="AG170" s="132">
        <v>75</v>
      </c>
      <c r="AH170" s="132"/>
      <c r="AI170" s="132">
        <v>105</v>
      </c>
      <c r="AJ170" s="132">
        <v>75</v>
      </c>
      <c r="AK170" s="132">
        <v>30</v>
      </c>
      <c r="AL170" s="595"/>
      <c r="AM170" s="595"/>
      <c r="AN170" s="595"/>
      <c r="AO170" s="595"/>
      <c r="AP170" s="595"/>
      <c r="AQ170" s="90"/>
      <c r="AR170" s="90" t="s">
        <v>117</v>
      </c>
      <c r="AS170" s="123" t="s">
        <v>1533</v>
      </c>
      <c r="AT170" s="34" t="s">
        <v>359</v>
      </c>
      <c r="AU170" s="91"/>
      <c r="AV170" s="600"/>
      <c r="AW170" s="840"/>
      <c r="AX170" s="840"/>
      <c r="AY170" s="840"/>
      <c r="AZ170" s="840"/>
      <c r="BA170" s="529"/>
      <c r="BB170" s="600"/>
      <c r="BC170" s="600"/>
      <c r="BD170" s="600"/>
      <c r="BE170" s="529"/>
      <c r="BF170" s="529"/>
      <c r="BG170" s="529"/>
      <c r="BH170" s="873"/>
      <c r="BI170" s="600"/>
      <c r="BJ170" s="201"/>
      <c r="BK170" s="201"/>
      <c r="BN170" s="7"/>
    </row>
    <row r="171" s="9" customFormat="1" ht="63" customHeight="1" spans="1:66">
      <c r="A171" s="23">
        <f>SUBTOTAL(3,C$9:C171)</f>
        <v>156</v>
      </c>
      <c r="B171" s="55" t="s">
        <v>1537</v>
      </c>
      <c r="C171" s="35" t="s">
        <v>562</v>
      </c>
      <c r="D171" s="55" t="s">
        <v>1538</v>
      </c>
      <c r="E171" s="35" t="s">
        <v>1271</v>
      </c>
      <c r="F171" s="36">
        <v>11096</v>
      </c>
      <c r="G171" s="36">
        <v>9226</v>
      </c>
      <c r="H171" s="134"/>
      <c r="I171" s="36">
        <v>400</v>
      </c>
      <c r="J171" s="36">
        <v>900</v>
      </c>
      <c r="K171" s="36">
        <v>1300</v>
      </c>
      <c r="L171" s="36">
        <v>1800</v>
      </c>
      <c r="M171" s="134"/>
      <c r="N171" s="123" t="s">
        <v>1536</v>
      </c>
      <c r="O171" s="133"/>
      <c r="P171" s="134"/>
      <c r="Q171" s="134"/>
      <c r="R171" s="134"/>
      <c r="S171" s="134"/>
      <c r="T171" s="134"/>
      <c r="U171" s="134"/>
      <c r="V171" s="134"/>
      <c r="W171" s="134"/>
      <c r="X171" s="90"/>
      <c r="Y171" s="90"/>
      <c r="Z171" s="132">
        <v>445</v>
      </c>
      <c r="AA171" s="132">
        <v>445</v>
      </c>
      <c r="AB171" s="132"/>
      <c r="AC171" s="132"/>
      <c r="AD171" s="132"/>
      <c r="AE171" s="132"/>
      <c r="AF171" s="132"/>
      <c r="AG171" s="132"/>
      <c r="AH171" s="132"/>
      <c r="AI171" s="132">
        <v>187</v>
      </c>
      <c r="AJ171" s="132">
        <v>187</v>
      </c>
      <c r="AK171" s="132"/>
      <c r="AL171" s="595"/>
      <c r="AM171" s="595"/>
      <c r="AN171" s="595"/>
      <c r="AO171" s="595"/>
      <c r="AP171" s="595"/>
      <c r="AQ171" s="90"/>
      <c r="AR171" s="90" t="s">
        <v>1539</v>
      </c>
      <c r="AS171" s="34" t="s">
        <v>1540</v>
      </c>
      <c r="AT171" s="34" t="s">
        <v>359</v>
      </c>
      <c r="AU171" s="91"/>
      <c r="AV171" s="600"/>
      <c r="AW171" s="840"/>
      <c r="AX171" s="840"/>
      <c r="AY171" s="840"/>
      <c r="AZ171" s="840"/>
      <c r="BA171" s="529"/>
      <c r="BB171" s="600"/>
      <c r="BC171" s="600"/>
      <c r="BD171" s="600"/>
      <c r="BE171" s="529"/>
      <c r="BF171" s="529"/>
      <c r="BG171" s="529"/>
      <c r="BH171" s="873"/>
      <c r="BI171" s="600"/>
      <c r="BJ171" s="201"/>
      <c r="BK171" s="201"/>
      <c r="BN171" s="7"/>
    </row>
    <row r="172" s="9" customFormat="1" ht="80.1" customHeight="1" spans="1:66">
      <c r="A172" s="23">
        <f>SUBTOTAL(3,C$9:C172)</f>
        <v>157</v>
      </c>
      <c r="B172" s="887" t="s">
        <v>1541</v>
      </c>
      <c r="C172" s="888" t="s">
        <v>79</v>
      </c>
      <c r="D172" s="887" t="s">
        <v>1542</v>
      </c>
      <c r="E172" s="888" t="s">
        <v>1543</v>
      </c>
      <c r="F172" s="889">
        <v>66361</v>
      </c>
      <c r="G172" s="889"/>
      <c r="H172" s="81" t="s">
        <v>195</v>
      </c>
      <c r="I172" s="81"/>
      <c r="J172" s="37">
        <v>500</v>
      </c>
      <c r="K172" s="37">
        <v>1700</v>
      </c>
      <c r="L172" s="889">
        <v>3000</v>
      </c>
      <c r="M172" s="889"/>
      <c r="N172" s="857" t="s">
        <v>1544</v>
      </c>
      <c r="O172" s="133"/>
      <c r="P172" s="134"/>
      <c r="Q172" s="134"/>
      <c r="R172" s="134"/>
      <c r="S172" s="134"/>
      <c r="T172" s="134"/>
      <c r="U172" s="134"/>
      <c r="V172" s="134"/>
      <c r="W172" s="134"/>
      <c r="X172" s="90"/>
      <c r="Y172" s="90"/>
      <c r="Z172" s="132">
        <v>450</v>
      </c>
      <c r="AA172" s="132"/>
      <c r="AB172" s="132">
        <v>450</v>
      </c>
      <c r="AC172" s="134"/>
      <c r="AD172" s="134"/>
      <c r="AE172" s="134"/>
      <c r="AF172" s="134"/>
      <c r="AG172" s="134"/>
      <c r="AH172" s="134"/>
      <c r="AI172" s="134"/>
      <c r="AJ172" s="134"/>
      <c r="AK172" s="595"/>
      <c r="AL172" s="595"/>
      <c r="AM172" s="595"/>
      <c r="AN172" s="595"/>
      <c r="AO172" s="595"/>
      <c r="AP172" s="595"/>
      <c r="AQ172" s="90"/>
      <c r="AR172" s="857" t="s">
        <v>1545</v>
      </c>
      <c r="AS172" s="901" t="s">
        <v>807</v>
      </c>
      <c r="AT172" s="34" t="s">
        <v>375</v>
      </c>
      <c r="AU172" s="171"/>
      <c r="AV172" s="600"/>
      <c r="AW172" s="840"/>
      <c r="AX172" s="840"/>
      <c r="AY172" s="840"/>
      <c r="AZ172" s="840"/>
      <c r="BA172" s="529"/>
      <c r="BB172" s="600"/>
      <c r="BC172" s="600"/>
      <c r="BD172" s="600"/>
      <c r="BE172" s="529"/>
      <c r="BF172" s="529"/>
      <c r="BG172" s="529"/>
      <c r="BH172" s="873"/>
      <c r="BI172" s="600"/>
      <c r="BJ172" s="201"/>
      <c r="BK172" s="201"/>
      <c r="BN172" s="7"/>
    </row>
    <row r="173" s="9" customFormat="1" ht="90" customHeight="1" spans="1:66">
      <c r="A173" s="23">
        <f>SUBTOTAL(3,C$9:C173)</f>
        <v>158</v>
      </c>
      <c r="B173" s="60" t="s">
        <v>1546</v>
      </c>
      <c r="C173" s="35" t="s">
        <v>79</v>
      </c>
      <c r="D173" s="88" t="s">
        <v>1547</v>
      </c>
      <c r="E173" s="23" t="s">
        <v>112</v>
      </c>
      <c r="F173" s="67">
        <v>60638.6</v>
      </c>
      <c r="G173" s="67"/>
      <c r="H173" s="67" t="s">
        <v>122</v>
      </c>
      <c r="I173" s="67"/>
      <c r="J173" s="67"/>
      <c r="K173" s="67">
        <v>7500</v>
      </c>
      <c r="L173" s="67">
        <v>15000</v>
      </c>
      <c r="M173" s="67"/>
      <c r="N173" s="123" t="s">
        <v>1548</v>
      </c>
      <c r="O173" s="134"/>
      <c r="P173" s="134"/>
      <c r="Q173" s="134"/>
      <c r="R173" s="134"/>
      <c r="S173" s="134"/>
      <c r="T173" s="134"/>
      <c r="U173" s="134"/>
      <c r="V173" s="134"/>
      <c r="W173" s="134"/>
      <c r="X173" s="674"/>
      <c r="Y173" s="90"/>
      <c r="Z173" s="132"/>
      <c r="AA173" s="132"/>
      <c r="AB173" s="132"/>
      <c r="AC173" s="132"/>
      <c r="AD173" s="132"/>
      <c r="AE173" s="132"/>
      <c r="AF173" s="132"/>
      <c r="AG173" s="132"/>
      <c r="AH173" s="132"/>
      <c r="AI173" s="132"/>
      <c r="AJ173" s="132"/>
      <c r="AK173" s="132"/>
      <c r="AL173" s="132"/>
      <c r="AM173" s="132"/>
      <c r="AN173" s="132"/>
      <c r="AO173" s="132"/>
      <c r="AP173" s="132"/>
      <c r="AQ173" s="90"/>
      <c r="AR173" s="34" t="s">
        <v>117</v>
      </c>
      <c r="AS173" s="123" t="s">
        <v>807</v>
      </c>
      <c r="AT173" s="34" t="s">
        <v>375</v>
      </c>
      <c r="AU173" s="93"/>
      <c r="AV173" s="600"/>
      <c r="AW173" s="840"/>
      <c r="AX173" s="840"/>
      <c r="AY173" s="840"/>
      <c r="AZ173" s="840"/>
      <c r="BA173" s="529"/>
      <c r="BB173" s="600"/>
      <c r="BC173" s="600"/>
      <c r="BD173" s="600"/>
      <c r="BE173" s="529"/>
      <c r="BF173" s="529"/>
      <c r="BG173" s="529"/>
      <c r="BI173" s="600"/>
      <c r="BJ173" s="201"/>
      <c r="BK173" s="201"/>
      <c r="BM173" s="201"/>
      <c r="BN173" s="7"/>
    </row>
    <row r="174" s="9" customFormat="1" ht="80.1" customHeight="1" spans="1:66">
      <c r="A174" s="23">
        <f>SUBTOTAL(3,C$9:C174)</f>
        <v>159</v>
      </c>
      <c r="B174" s="55" t="s">
        <v>1549</v>
      </c>
      <c r="C174" s="888" t="s">
        <v>79</v>
      </c>
      <c r="D174" s="887" t="s">
        <v>1550</v>
      </c>
      <c r="E174" s="35" t="s">
        <v>112</v>
      </c>
      <c r="F174" s="36">
        <v>6370</v>
      </c>
      <c r="G174" s="36"/>
      <c r="H174" s="81" t="s">
        <v>82</v>
      </c>
      <c r="I174" s="81"/>
      <c r="J174" s="81"/>
      <c r="K174" s="81"/>
      <c r="L174" s="36">
        <v>1000</v>
      </c>
      <c r="M174" s="36"/>
      <c r="N174" s="112" t="s">
        <v>409</v>
      </c>
      <c r="O174" s="133"/>
      <c r="P174" s="134"/>
      <c r="Q174" s="134"/>
      <c r="R174" s="134"/>
      <c r="S174" s="134"/>
      <c r="T174" s="134"/>
      <c r="U174" s="134"/>
      <c r="V174" s="134"/>
      <c r="W174" s="134"/>
      <c r="X174" s="90"/>
      <c r="Y174" s="90"/>
      <c r="Z174" s="134">
        <v>15</v>
      </c>
      <c r="AA174" s="134"/>
      <c r="AB174" s="134">
        <v>15</v>
      </c>
      <c r="AC174" s="132"/>
      <c r="AD174" s="132"/>
      <c r="AE174" s="132"/>
      <c r="AF174" s="132"/>
      <c r="AG174" s="132"/>
      <c r="AH174" s="132"/>
      <c r="AI174" s="132"/>
      <c r="AJ174" s="132"/>
      <c r="AK174" s="595"/>
      <c r="AL174" s="595"/>
      <c r="AM174" s="595"/>
      <c r="AN174" s="595"/>
      <c r="AO174" s="595"/>
      <c r="AP174" s="595"/>
      <c r="AQ174" s="90"/>
      <c r="AR174" s="112" t="s">
        <v>1551</v>
      </c>
      <c r="AS174" s="123" t="s">
        <v>1552</v>
      </c>
      <c r="AT174" s="34" t="s">
        <v>375</v>
      </c>
      <c r="AU174" s="171"/>
      <c r="AV174" s="600"/>
      <c r="AW174" s="840"/>
      <c r="AX174" s="840"/>
      <c r="AY174" s="840"/>
      <c r="AZ174" s="840"/>
      <c r="BA174" s="529"/>
      <c r="BB174" s="600"/>
      <c r="BC174" s="600"/>
      <c r="BD174" s="600"/>
      <c r="BE174" s="529"/>
      <c r="BF174" s="529"/>
      <c r="BG174" s="529"/>
      <c r="BH174" s="873"/>
      <c r="BI174" s="600"/>
      <c r="BJ174" s="201"/>
      <c r="BK174" s="201"/>
      <c r="BN174" s="7"/>
    </row>
    <row r="175" s="9" customFormat="1" ht="80.1" customHeight="1" spans="1:66">
      <c r="A175" s="23">
        <f>SUBTOTAL(3,C$9:C175)</f>
        <v>160</v>
      </c>
      <c r="B175" s="233" t="s">
        <v>1553</v>
      </c>
      <c r="C175" s="87" t="s">
        <v>79</v>
      </c>
      <c r="D175" s="233" t="s">
        <v>1554</v>
      </c>
      <c r="E175" s="87" t="s">
        <v>112</v>
      </c>
      <c r="F175" s="87">
        <v>1874</v>
      </c>
      <c r="G175" s="87"/>
      <c r="H175" s="81" t="s">
        <v>283</v>
      </c>
      <c r="I175" s="81"/>
      <c r="J175" s="81"/>
      <c r="K175" s="81"/>
      <c r="L175" s="87">
        <v>600</v>
      </c>
      <c r="M175" s="87"/>
      <c r="N175" s="112" t="s">
        <v>1555</v>
      </c>
      <c r="O175" s="133"/>
      <c r="P175" s="134"/>
      <c r="Q175" s="134"/>
      <c r="R175" s="134"/>
      <c r="S175" s="134"/>
      <c r="T175" s="134"/>
      <c r="U175" s="134"/>
      <c r="V175" s="134"/>
      <c r="W175" s="134"/>
      <c r="X175" s="90"/>
      <c r="Y175" s="90"/>
      <c r="Z175" s="261"/>
      <c r="AA175" s="261"/>
      <c r="AB175" s="261"/>
      <c r="AC175" s="261"/>
      <c r="AD175" s="261"/>
      <c r="AE175" s="261"/>
      <c r="AF175" s="261"/>
      <c r="AG175" s="261"/>
      <c r="AH175" s="261"/>
      <c r="AI175" s="261"/>
      <c r="AJ175" s="261"/>
      <c r="AK175" s="595"/>
      <c r="AL175" s="595"/>
      <c r="AM175" s="595"/>
      <c r="AN175" s="595"/>
      <c r="AO175" s="595"/>
      <c r="AP175" s="595"/>
      <c r="AQ175" s="90"/>
      <c r="AR175" s="86" t="s">
        <v>117</v>
      </c>
      <c r="AS175" s="86" t="s">
        <v>1556</v>
      </c>
      <c r="AT175" s="34" t="s">
        <v>375</v>
      </c>
      <c r="AU175" s="171"/>
      <c r="AV175" s="600"/>
      <c r="AW175" s="840"/>
      <c r="AX175" s="840"/>
      <c r="AY175" s="840"/>
      <c r="AZ175" s="840"/>
      <c r="BA175" s="529"/>
      <c r="BB175" s="600"/>
      <c r="BC175" s="600"/>
      <c r="BD175" s="600"/>
      <c r="BE175" s="529"/>
      <c r="BF175" s="529"/>
      <c r="BG175" s="529"/>
      <c r="BH175" s="873"/>
      <c r="BI175" s="600"/>
      <c r="BJ175" s="201"/>
      <c r="BK175" s="201"/>
      <c r="BN175" s="7"/>
    </row>
    <row r="176" s="9" customFormat="1" ht="80.1" customHeight="1" spans="1:66">
      <c r="A176" s="23">
        <f>SUBTOTAL(3,C$9:C176)</f>
        <v>161</v>
      </c>
      <c r="B176" s="55" t="s">
        <v>1557</v>
      </c>
      <c r="C176" s="35" t="s">
        <v>562</v>
      </c>
      <c r="D176" s="60" t="s">
        <v>1558</v>
      </c>
      <c r="E176" s="35" t="s">
        <v>564</v>
      </c>
      <c r="F176" s="35">
        <v>20000</v>
      </c>
      <c r="G176" s="136">
        <v>5000</v>
      </c>
      <c r="H176" s="134"/>
      <c r="I176" s="67">
        <v>400</v>
      </c>
      <c r="J176" s="67">
        <v>800</v>
      </c>
      <c r="K176" s="67">
        <v>1100</v>
      </c>
      <c r="L176" s="36">
        <v>1500</v>
      </c>
      <c r="M176" s="134"/>
      <c r="N176" s="123" t="s">
        <v>1559</v>
      </c>
      <c r="O176" s="133"/>
      <c r="P176" s="134"/>
      <c r="Q176" s="134"/>
      <c r="R176" s="134"/>
      <c r="S176" s="134"/>
      <c r="T176" s="134"/>
      <c r="U176" s="134"/>
      <c r="V176" s="134"/>
      <c r="W176" s="134"/>
      <c r="X176" s="90"/>
      <c r="Y176" s="90"/>
      <c r="Z176" s="132"/>
      <c r="AA176" s="132"/>
      <c r="AB176" s="132"/>
      <c r="AC176" s="132"/>
      <c r="AD176" s="132"/>
      <c r="AE176" s="132"/>
      <c r="AF176" s="132"/>
      <c r="AG176" s="132"/>
      <c r="AH176" s="132"/>
      <c r="AI176" s="132"/>
      <c r="AJ176" s="132"/>
      <c r="AK176" s="132"/>
      <c r="AL176" s="595"/>
      <c r="AM176" s="595"/>
      <c r="AN176" s="595"/>
      <c r="AO176" s="595"/>
      <c r="AP176" s="595"/>
      <c r="AQ176" s="90"/>
      <c r="AR176" s="90" t="s">
        <v>117</v>
      </c>
      <c r="AS176" s="123" t="s">
        <v>807</v>
      </c>
      <c r="AT176" s="34" t="s">
        <v>375</v>
      </c>
      <c r="AU176" s="91"/>
      <c r="AV176" s="600"/>
      <c r="AW176" s="840"/>
      <c r="AX176" s="840"/>
      <c r="AY176" s="840"/>
      <c r="AZ176" s="840"/>
      <c r="BA176" s="529"/>
      <c r="BB176" s="600"/>
      <c r="BC176" s="600"/>
      <c r="BD176" s="600"/>
      <c r="BE176" s="529"/>
      <c r="BF176" s="529"/>
      <c r="BG176" s="529"/>
      <c r="BH176" s="873"/>
      <c r="BI176" s="600"/>
      <c r="BJ176" s="201"/>
      <c r="BK176" s="201"/>
      <c r="BN176" s="7"/>
    </row>
    <row r="177" s="9" customFormat="1" ht="80.1" customHeight="1" spans="1:66">
      <c r="A177" s="23">
        <f>SUBTOTAL(3,C$9:C177)</f>
        <v>162</v>
      </c>
      <c r="B177" s="60" t="s">
        <v>1560</v>
      </c>
      <c r="C177" s="35" t="s">
        <v>562</v>
      </c>
      <c r="D177" s="60" t="s">
        <v>1561</v>
      </c>
      <c r="E177" s="23" t="s">
        <v>588</v>
      </c>
      <c r="F177" s="67">
        <v>14300</v>
      </c>
      <c r="G177" s="67">
        <v>5000</v>
      </c>
      <c r="H177" s="134"/>
      <c r="I177" s="67">
        <v>300</v>
      </c>
      <c r="J177" s="67">
        <v>700</v>
      </c>
      <c r="K177" s="67">
        <v>1100</v>
      </c>
      <c r="L177" s="36">
        <v>1500</v>
      </c>
      <c r="M177" s="134"/>
      <c r="N177" s="123" t="s">
        <v>1562</v>
      </c>
      <c r="O177" s="133"/>
      <c r="P177" s="134"/>
      <c r="Q177" s="134"/>
      <c r="R177" s="134"/>
      <c r="S177" s="134"/>
      <c r="T177" s="134"/>
      <c r="U177" s="134"/>
      <c r="V177" s="134"/>
      <c r="W177" s="134"/>
      <c r="X177" s="90"/>
      <c r="Y177" s="90"/>
      <c r="Z177" s="132"/>
      <c r="AA177" s="132"/>
      <c r="AB177" s="132"/>
      <c r="AC177" s="132"/>
      <c r="AD177" s="132"/>
      <c r="AE177" s="132"/>
      <c r="AF177" s="132"/>
      <c r="AG177" s="132"/>
      <c r="AH177" s="132"/>
      <c r="AI177" s="132"/>
      <c r="AJ177" s="132"/>
      <c r="AK177" s="132"/>
      <c r="AL177" s="595"/>
      <c r="AM177" s="595"/>
      <c r="AN177" s="595"/>
      <c r="AO177" s="595"/>
      <c r="AP177" s="595"/>
      <c r="AQ177" s="90"/>
      <c r="AR177" s="112" t="s">
        <v>806</v>
      </c>
      <c r="AS177" s="123" t="s">
        <v>807</v>
      </c>
      <c r="AT177" s="34" t="s">
        <v>375</v>
      </c>
      <c r="AU177" s="91"/>
      <c r="AV177" s="600"/>
      <c r="AW177" s="840"/>
      <c r="AX177" s="840"/>
      <c r="AY177" s="840"/>
      <c r="AZ177" s="840"/>
      <c r="BA177" s="529"/>
      <c r="BB177" s="600"/>
      <c r="BC177" s="600"/>
      <c r="BD177" s="600"/>
      <c r="BE177" s="529"/>
      <c r="BF177" s="529"/>
      <c r="BG177" s="529"/>
      <c r="BH177" s="873"/>
      <c r="BI177" s="600"/>
      <c r="BJ177" s="201"/>
      <c r="BK177" s="201"/>
      <c r="BN177" s="7"/>
    </row>
    <row r="178" s="9" customFormat="1" ht="80.1" customHeight="1" spans="1:66">
      <c r="A178" s="23">
        <f>SUBTOTAL(3,C$9:C178)</f>
        <v>163</v>
      </c>
      <c r="B178" s="60" t="s">
        <v>1563</v>
      </c>
      <c r="C178" s="35" t="s">
        <v>810</v>
      </c>
      <c r="D178" s="58" t="s">
        <v>1564</v>
      </c>
      <c r="E178" s="23" t="s">
        <v>832</v>
      </c>
      <c r="F178" s="67">
        <v>7000</v>
      </c>
      <c r="G178" s="67">
        <v>5000</v>
      </c>
      <c r="H178" s="81" t="s">
        <v>131</v>
      </c>
      <c r="I178" s="37">
        <v>300</v>
      </c>
      <c r="J178" s="37">
        <v>700</v>
      </c>
      <c r="K178" s="37">
        <v>1500</v>
      </c>
      <c r="L178" s="637">
        <v>2000</v>
      </c>
      <c r="M178" s="134"/>
      <c r="N178" s="123" t="s">
        <v>971</v>
      </c>
      <c r="O178" s="133"/>
      <c r="P178" s="134"/>
      <c r="Q178" s="134"/>
      <c r="R178" s="134"/>
      <c r="S178" s="134"/>
      <c r="T178" s="134"/>
      <c r="U178" s="134"/>
      <c r="V178" s="134"/>
      <c r="W178" s="134"/>
      <c r="X178" s="90"/>
      <c r="Y178" s="90"/>
      <c r="Z178" s="132"/>
      <c r="AA178" s="132"/>
      <c r="AB178" s="132"/>
      <c r="AC178" s="132"/>
      <c r="AD178" s="132"/>
      <c r="AE178" s="132"/>
      <c r="AF178" s="132"/>
      <c r="AG178" s="132"/>
      <c r="AH178" s="132"/>
      <c r="AI178" s="132"/>
      <c r="AJ178" s="132"/>
      <c r="AK178" s="132"/>
      <c r="AL178" s="595"/>
      <c r="AM178" s="595"/>
      <c r="AN178" s="595"/>
      <c r="AO178" s="595"/>
      <c r="AP178" s="595"/>
      <c r="AQ178" s="90"/>
      <c r="AR178" s="112" t="s">
        <v>117</v>
      </c>
      <c r="AS178" s="123" t="s">
        <v>807</v>
      </c>
      <c r="AT178" s="34" t="s">
        <v>375</v>
      </c>
      <c r="AU178" s="91"/>
      <c r="AV178" s="600"/>
      <c r="AW178" s="840"/>
      <c r="AX178" s="840"/>
      <c r="AY178" s="840"/>
      <c r="AZ178" s="840"/>
      <c r="BA178" s="529"/>
      <c r="BB178" s="600"/>
      <c r="BC178" s="600"/>
      <c r="BD178" s="600"/>
      <c r="BE178" s="529"/>
      <c r="BF178" s="529"/>
      <c r="BG178" s="529"/>
      <c r="BH178" s="873"/>
      <c r="BI178" s="600"/>
      <c r="BJ178" s="201"/>
      <c r="BK178" s="201"/>
      <c r="BN178" s="7"/>
    </row>
    <row r="179" s="9" customFormat="1" ht="80.1" customHeight="1" spans="1:66">
      <c r="A179" s="23">
        <f>SUBTOTAL(3,C$9:C179)</f>
        <v>164</v>
      </c>
      <c r="B179" s="890" t="s">
        <v>1565</v>
      </c>
      <c r="C179" s="35" t="s">
        <v>810</v>
      </c>
      <c r="D179" s="58" t="s">
        <v>1566</v>
      </c>
      <c r="E179" s="891" t="s">
        <v>827</v>
      </c>
      <c r="F179" s="892">
        <v>5260</v>
      </c>
      <c r="G179" s="257">
        <v>1234</v>
      </c>
      <c r="H179" s="81" t="s">
        <v>195</v>
      </c>
      <c r="I179" s="37">
        <v>100</v>
      </c>
      <c r="J179" s="37">
        <v>350</v>
      </c>
      <c r="K179" s="37">
        <v>750</v>
      </c>
      <c r="L179" s="36">
        <v>1000</v>
      </c>
      <c r="M179" s="134"/>
      <c r="N179" s="123" t="s">
        <v>971</v>
      </c>
      <c r="O179" s="133"/>
      <c r="P179" s="134"/>
      <c r="Q179" s="134"/>
      <c r="R179" s="134"/>
      <c r="S179" s="134"/>
      <c r="T179" s="134"/>
      <c r="U179" s="134"/>
      <c r="V179" s="134"/>
      <c r="W179" s="134"/>
      <c r="X179" s="90"/>
      <c r="Y179" s="90"/>
      <c r="Z179" s="132"/>
      <c r="AA179" s="132"/>
      <c r="AB179" s="132"/>
      <c r="AC179" s="132"/>
      <c r="AD179" s="132"/>
      <c r="AE179" s="132"/>
      <c r="AF179" s="132"/>
      <c r="AG179" s="132"/>
      <c r="AH179" s="132"/>
      <c r="AI179" s="132"/>
      <c r="AJ179" s="132"/>
      <c r="AK179" s="132"/>
      <c r="AL179" s="595"/>
      <c r="AM179" s="595"/>
      <c r="AN179" s="595"/>
      <c r="AO179" s="595"/>
      <c r="AP179" s="595"/>
      <c r="AQ179" s="90"/>
      <c r="AR179" s="884" t="s">
        <v>1567</v>
      </c>
      <c r="AS179" s="123" t="s">
        <v>807</v>
      </c>
      <c r="AT179" s="34" t="s">
        <v>375</v>
      </c>
      <c r="AU179" s="91"/>
      <c r="AV179" s="600"/>
      <c r="AW179" s="840"/>
      <c r="AX179" s="840"/>
      <c r="AY179" s="840"/>
      <c r="AZ179" s="840"/>
      <c r="BA179" s="529"/>
      <c r="BB179" s="600"/>
      <c r="BC179" s="600"/>
      <c r="BD179" s="600"/>
      <c r="BE179" s="529"/>
      <c r="BF179" s="529"/>
      <c r="BG179" s="529"/>
      <c r="BH179" s="873"/>
      <c r="BI179" s="600"/>
      <c r="BJ179" s="201"/>
      <c r="BK179" s="201"/>
      <c r="BN179" s="7"/>
    </row>
    <row r="180" s="9" customFormat="1" ht="80.1" customHeight="1" spans="1:66">
      <c r="A180" s="23">
        <f>SUBTOTAL(3,C$9:C180)</f>
        <v>165</v>
      </c>
      <c r="B180" s="890" t="s">
        <v>1568</v>
      </c>
      <c r="C180" s="35" t="s">
        <v>810</v>
      </c>
      <c r="D180" s="58" t="s">
        <v>1569</v>
      </c>
      <c r="E180" s="891" t="s">
        <v>832</v>
      </c>
      <c r="F180" s="892">
        <v>5048</v>
      </c>
      <c r="G180" s="257">
        <v>1850</v>
      </c>
      <c r="H180" s="81" t="s">
        <v>195</v>
      </c>
      <c r="I180" s="37">
        <v>3198</v>
      </c>
      <c r="J180" s="37">
        <v>3198</v>
      </c>
      <c r="K180" s="37">
        <v>3198</v>
      </c>
      <c r="L180" s="36">
        <v>3198</v>
      </c>
      <c r="M180" s="134"/>
      <c r="N180" s="123" t="s">
        <v>971</v>
      </c>
      <c r="O180" s="133"/>
      <c r="P180" s="134"/>
      <c r="Q180" s="134"/>
      <c r="R180" s="134"/>
      <c r="S180" s="134"/>
      <c r="T180" s="134"/>
      <c r="U180" s="134"/>
      <c r="V180" s="134"/>
      <c r="W180" s="134"/>
      <c r="X180" s="90"/>
      <c r="Y180" s="90"/>
      <c r="Z180" s="132"/>
      <c r="AA180" s="132"/>
      <c r="AB180" s="132"/>
      <c r="AC180" s="132"/>
      <c r="AD180" s="132"/>
      <c r="AE180" s="132"/>
      <c r="AF180" s="132"/>
      <c r="AG180" s="132"/>
      <c r="AH180" s="132"/>
      <c r="AI180" s="132"/>
      <c r="AJ180" s="132"/>
      <c r="AK180" s="132"/>
      <c r="AL180" s="595"/>
      <c r="AM180" s="595"/>
      <c r="AN180" s="595"/>
      <c r="AO180" s="595"/>
      <c r="AP180" s="595"/>
      <c r="AQ180" s="90"/>
      <c r="AR180" s="112" t="s">
        <v>117</v>
      </c>
      <c r="AS180" s="123" t="s">
        <v>807</v>
      </c>
      <c r="AT180" s="34" t="s">
        <v>375</v>
      </c>
      <c r="AU180" s="91"/>
      <c r="AV180" s="600"/>
      <c r="AW180" s="840"/>
      <c r="AX180" s="840"/>
      <c r="AY180" s="840"/>
      <c r="AZ180" s="840"/>
      <c r="BA180" s="529"/>
      <c r="BB180" s="600"/>
      <c r="BC180" s="600"/>
      <c r="BD180" s="600"/>
      <c r="BE180" s="529"/>
      <c r="BF180" s="529"/>
      <c r="BG180" s="529"/>
      <c r="BH180" s="873"/>
      <c r="BI180" s="600"/>
      <c r="BJ180" s="201"/>
      <c r="BK180" s="201"/>
      <c r="BN180" s="7"/>
    </row>
    <row r="181" s="9" customFormat="1" ht="90" customHeight="1" spans="1:66">
      <c r="A181" s="23">
        <f>SUBTOTAL(3,C$9:C181)</f>
        <v>166</v>
      </c>
      <c r="B181" s="58" t="s">
        <v>1570</v>
      </c>
      <c r="C181" s="23" t="s">
        <v>810</v>
      </c>
      <c r="D181" s="55" t="s">
        <v>1571</v>
      </c>
      <c r="E181" s="23" t="s">
        <v>812</v>
      </c>
      <c r="F181" s="67">
        <v>3000</v>
      </c>
      <c r="G181" s="67">
        <v>1000</v>
      </c>
      <c r="H181" s="36" t="s">
        <v>131</v>
      </c>
      <c r="I181" s="81">
        <v>450</v>
      </c>
      <c r="J181" s="81">
        <v>850</v>
      </c>
      <c r="K181" s="81">
        <v>1500</v>
      </c>
      <c r="L181" s="36">
        <v>2000</v>
      </c>
      <c r="M181" s="134"/>
      <c r="N181" s="123" t="s">
        <v>971</v>
      </c>
      <c r="O181" s="133"/>
      <c r="P181" s="134"/>
      <c r="Q181" s="134"/>
      <c r="R181" s="134"/>
      <c r="S181" s="134"/>
      <c r="T181" s="134"/>
      <c r="U181" s="134"/>
      <c r="V181" s="134"/>
      <c r="W181" s="134"/>
      <c r="X181" s="90"/>
      <c r="Y181" s="90"/>
      <c r="Z181" s="132"/>
      <c r="AA181" s="132"/>
      <c r="AB181" s="132"/>
      <c r="AC181" s="132"/>
      <c r="AD181" s="132"/>
      <c r="AE181" s="132"/>
      <c r="AF181" s="132"/>
      <c r="AG181" s="132"/>
      <c r="AH181" s="132"/>
      <c r="AI181" s="132"/>
      <c r="AJ181" s="132"/>
      <c r="AK181" s="132"/>
      <c r="AL181" s="595"/>
      <c r="AM181" s="595"/>
      <c r="AN181" s="595"/>
      <c r="AO181" s="595"/>
      <c r="AP181" s="595"/>
      <c r="AQ181" s="90"/>
      <c r="AR181" s="34" t="s">
        <v>117</v>
      </c>
      <c r="AS181" s="123" t="s">
        <v>807</v>
      </c>
      <c r="AT181" s="34" t="s">
        <v>375</v>
      </c>
      <c r="AU181" s="270"/>
      <c r="AV181" s="600"/>
      <c r="AW181" s="840"/>
      <c r="AX181" s="840"/>
      <c r="AY181" s="840"/>
      <c r="AZ181" s="840"/>
      <c r="BA181" s="529"/>
      <c r="BB181" s="600"/>
      <c r="BC181" s="600"/>
      <c r="BD181" s="600"/>
      <c r="BE181" s="529"/>
      <c r="BF181" s="529"/>
      <c r="BG181" s="529"/>
      <c r="BH181" s="873"/>
      <c r="BI181" s="600"/>
      <c r="BJ181" s="201"/>
      <c r="BK181" s="201"/>
      <c r="BN181" s="7"/>
    </row>
    <row r="182" s="9" customFormat="1" ht="90" customHeight="1" spans="1:66">
      <c r="A182" s="23">
        <f>SUBTOTAL(3,C$9:C182)</f>
        <v>167</v>
      </c>
      <c r="B182" s="893" t="s">
        <v>1572</v>
      </c>
      <c r="C182" s="59" t="s">
        <v>810</v>
      </c>
      <c r="D182" s="34" t="s">
        <v>1573</v>
      </c>
      <c r="E182" s="23" t="s">
        <v>812</v>
      </c>
      <c r="F182" s="67">
        <v>1374.07</v>
      </c>
      <c r="G182" s="67">
        <v>210</v>
      </c>
      <c r="H182" s="36" t="s">
        <v>131</v>
      </c>
      <c r="I182" s="81">
        <v>150</v>
      </c>
      <c r="J182" s="81">
        <v>350</v>
      </c>
      <c r="K182" s="81">
        <v>800</v>
      </c>
      <c r="L182" s="36">
        <v>1164</v>
      </c>
      <c r="M182" s="134"/>
      <c r="N182" s="123" t="s">
        <v>971</v>
      </c>
      <c r="O182" s="133"/>
      <c r="P182" s="134"/>
      <c r="Q182" s="134"/>
      <c r="R182" s="134"/>
      <c r="S182" s="134"/>
      <c r="T182" s="134"/>
      <c r="U182" s="134"/>
      <c r="V182" s="134"/>
      <c r="W182" s="134"/>
      <c r="X182" s="90"/>
      <c r="Y182" s="90"/>
      <c r="Z182" s="132"/>
      <c r="AA182" s="132"/>
      <c r="AB182" s="132"/>
      <c r="AC182" s="132"/>
      <c r="AD182" s="132"/>
      <c r="AE182" s="132"/>
      <c r="AF182" s="132"/>
      <c r="AG182" s="132"/>
      <c r="AH182" s="132"/>
      <c r="AI182" s="132"/>
      <c r="AJ182" s="132"/>
      <c r="AK182" s="132"/>
      <c r="AL182" s="595"/>
      <c r="AM182" s="595"/>
      <c r="AN182" s="595"/>
      <c r="AO182" s="595"/>
      <c r="AP182" s="595"/>
      <c r="AQ182" s="90"/>
      <c r="AR182" s="34" t="s">
        <v>117</v>
      </c>
      <c r="AS182" s="86" t="s">
        <v>1574</v>
      </c>
      <c r="AT182" s="34" t="s">
        <v>375</v>
      </c>
      <c r="AU182" s="270"/>
      <c r="AV182" s="600"/>
      <c r="AW182" s="840"/>
      <c r="AX182" s="840"/>
      <c r="AY182" s="840"/>
      <c r="AZ182" s="840"/>
      <c r="BA182" s="529"/>
      <c r="BB182" s="600"/>
      <c r="BC182" s="600"/>
      <c r="BD182" s="600"/>
      <c r="BE182" s="529"/>
      <c r="BF182" s="529"/>
      <c r="BG182" s="529"/>
      <c r="BH182" s="873"/>
      <c r="BI182" s="600"/>
      <c r="BJ182" s="201"/>
      <c r="BK182" s="201"/>
      <c r="BN182" s="7"/>
    </row>
    <row r="183" s="9" customFormat="1" ht="90" customHeight="1" spans="1:66">
      <c r="A183" s="23">
        <f>SUBTOTAL(3,C$9:C183)</f>
        <v>168</v>
      </c>
      <c r="B183" s="893" t="s">
        <v>1575</v>
      </c>
      <c r="C183" s="59" t="s">
        <v>810</v>
      </c>
      <c r="D183" s="34" t="s">
        <v>1576</v>
      </c>
      <c r="E183" s="23" t="s">
        <v>812</v>
      </c>
      <c r="F183" s="67">
        <v>1101.95</v>
      </c>
      <c r="G183" s="67">
        <v>63</v>
      </c>
      <c r="H183" s="36" t="s">
        <v>131</v>
      </c>
      <c r="I183" s="81">
        <v>180</v>
      </c>
      <c r="J183" s="81">
        <v>420</v>
      </c>
      <c r="K183" s="81">
        <v>760</v>
      </c>
      <c r="L183" s="36">
        <v>1039</v>
      </c>
      <c r="M183" s="134"/>
      <c r="N183" s="123" t="s">
        <v>971</v>
      </c>
      <c r="O183" s="133"/>
      <c r="P183" s="134"/>
      <c r="Q183" s="134"/>
      <c r="R183" s="134"/>
      <c r="S183" s="134"/>
      <c r="T183" s="134"/>
      <c r="U183" s="134"/>
      <c r="V183" s="134"/>
      <c r="W183" s="134"/>
      <c r="X183" s="90"/>
      <c r="Y183" s="90"/>
      <c r="Z183" s="132"/>
      <c r="AA183" s="132"/>
      <c r="AB183" s="132"/>
      <c r="AC183" s="132"/>
      <c r="AD183" s="132"/>
      <c r="AE183" s="132"/>
      <c r="AF183" s="132"/>
      <c r="AG183" s="132"/>
      <c r="AH183" s="132"/>
      <c r="AI183" s="132"/>
      <c r="AJ183" s="132"/>
      <c r="AK183" s="132"/>
      <c r="AL183" s="595"/>
      <c r="AM183" s="595"/>
      <c r="AN183" s="595"/>
      <c r="AO183" s="595"/>
      <c r="AP183" s="595"/>
      <c r="AQ183" s="90"/>
      <c r="AR183" s="34" t="s">
        <v>117</v>
      </c>
      <c r="AS183" s="86" t="s">
        <v>1574</v>
      </c>
      <c r="AT183" s="34" t="s">
        <v>375</v>
      </c>
      <c r="AU183" s="270"/>
      <c r="AV183" s="600"/>
      <c r="AW183" s="840"/>
      <c r="AX183" s="840"/>
      <c r="AY183" s="840"/>
      <c r="AZ183" s="840"/>
      <c r="BA183" s="529"/>
      <c r="BB183" s="600"/>
      <c r="BC183" s="600"/>
      <c r="BD183" s="600"/>
      <c r="BE183" s="529"/>
      <c r="BF183" s="529"/>
      <c r="BG183" s="529"/>
      <c r="BH183" s="873"/>
      <c r="BI183" s="600"/>
      <c r="BJ183" s="201"/>
      <c r="BK183" s="201"/>
      <c r="BN183" s="7"/>
    </row>
    <row r="184" s="9" customFormat="1" ht="29.25" customHeight="1" spans="1:66">
      <c r="A184" s="23" t="s">
        <v>808</v>
      </c>
      <c r="B184" s="557" t="str">
        <f>"社会投资项目（"&amp;SUBTOTAL(3,C186:C220)&amp;"个）"</f>
        <v>社会投资项目（33个）</v>
      </c>
      <c r="C184" s="557"/>
      <c r="D184" s="557"/>
      <c r="E184" s="551"/>
      <c r="F184" s="134">
        <f t="shared" ref="F184:L184" si="15">F187+F185+F208</f>
        <v>1959899</v>
      </c>
      <c r="G184" s="134">
        <f t="shared" si="15"/>
        <v>95879</v>
      </c>
      <c r="H184" s="134"/>
      <c r="I184" s="134">
        <f t="shared" si="15"/>
        <v>19427</v>
      </c>
      <c r="J184" s="134">
        <f t="shared" si="15"/>
        <v>50303</v>
      </c>
      <c r="K184" s="134">
        <f t="shared" si="15"/>
        <v>94311</v>
      </c>
      <c r="L184" s="134">
        <f t="shared" si="15"/>
        <v>173179</v>
      </c>
      <c r="M184" s="134"/>
      <c r="N184" s="134"/>
      <c r="O184" s="133"/>
      <c r="P184" s="134"/>
      <c r="Q184" s="134"/>
      <c r="R184" s="134"/>
      <c r="S184" s="134"/>
      <c r="T184" s="134"/>
      <c r="U184" s="134"/>
      <c r="V184" s="134"/>
      <c r="W184" s="134"/>
      <c r="X184" s="90"/>
      <c r="Y184" s="90"/>
      <c r="Z184" s="134">
        <f t="shared" ref="Z184:AP184" si="16">Z187+Z185+Z208</f>
        <v>4362.3</v>
      </c>
      <c r="AA184" s="134">
        <f t="shared" si="16"/>
        <v>668.3</v>
      </c>
      <c r="AB184" s="134">
        <f t="shared" si="16"/>
        <v>3693.81</v>
      </c>
      <c r="AC184" s="134">
        <f t="shared" si="16"/>
        <v>4047.2425</v>
      </c>
      <c r="AD184" s="134">
        <f t="shared" si="16"/>
        <v>3497.9695</v>
      </c>
      <c r="AE184" s="134">
        <f t="shared" si="16"/>
        <v>549</v>
      </c>
      <c r="AF184" s="134">
        <f t="shared" si="16"/>
        <v>136</v>
      </c>
      <c r="AG184" s="134">
        <f t="shared" si="16"/>
        <v>0</v>
      </c>
      <c r="AH184" s="134">
        <f t="shared" si="16"/>
        <v>136</v>
      </c>
      <c r="AI184" s="134">
        <f t="shared" si="16"/>
        <v>3009.15</v>
      </c>
      <c r="AJ184" s="134">
        <f t="shared" si="16"/>
        <v>231.15</v>
      </c>
      <c r="AK184" s="134">
        <f t="shared" si="16"/>
        <v>2778</v>
      </c>
      <c r="AL184" s="134">
        <f t="shared" si="16"/>
        <v>0</v>
      </c>
      <c r="AM184" s="134">
        <f t="shared" si="16"/>
        <v>0</v>
      </c>
      <c r="AN184" s="134">
        <f t="shared" si="16"/>
        <v>0</v>
      </c>
      <c r="AO184" s="134">
        <f t="shared" si="16"/>
        <v>24549</v>
      </c>
      <c r="AP184" s="134">
        <f t="shared" si="16"/>
        <v>36000</v>
      </c>
      <c r="AQ184" s="90"/>
      <c r="AR184" s="112"/>
      <c r="AS184" s="591"/>
      <c r="AT184" s="591"/>
      <c r="AU184" s="93"/>
      <c r="AV184" s="165"/>
      <c r="AW184" s="158"/>
      <c r="AX184" s="158"/>
      <c r="AY184" s="158"/>
      <c r="AZ184" s="158"/>
      <c r="BA184" s="169"/>
      <c r="BB184" s="165"/>
      <c r="BC184" s="165"/>
      <c r="BD184" s="165"/>
      <c r="BE184" s="169"/>
      <c r="BF184" s="169"/>
      <c r="BG184" s="169"/>
      <c r="BH184" s="872"/>
      <c r="BI184" s="165"/>
      <c r="BJ184" s="157"/>
      <c r="BK184" s="157"/>
      <c r="BN184" s="7"/>
    </row>
    <row r="185" ht="30.75" customHeight="1" spans="1:47">
      <c r="A185" s="551" t="s">
        <v>77</v>
      </c>
      <c r="B185" s="557" t="str">
        <f>"供水工程（"&amp;SUBTOTAL(3,C185:C186)&amp;"个）"</f>
        <v>供水工程（1个）</v>
      </c>
      <c r="C185" s="557"/>
      <c r="D185" s="557"/>
      <c r="E185" s="59"/>
      <c r="F185" s="134">
        <f>SUBTOTAL(9,F186:F186)</f>
        <v>36363</v>
      </c>
      <c r="G185" s="134">
        <f t="shared" ref="G185:L185" si="17">SUBTOTAL(9,G186:G186)</f>
        <v>9021</v>
      </c>
      <c r="H185" s="134"/>
      <c r="I185" s="134">
        <f t="shared" si="17"/>
        <v>1500</v>
      </c>
      <c r="J185" s="134">
        <f t="shared" si="17"/>
        <v>4000</v>
      </c>
      <c r="K185" s="134">
        <f t="shared" si="17"/>
        <v>7000</v>
      </c>
      <c r="L185" s="134">
        <f t="shared" si="17"/>
        <v>10000</v>
      </c>
      <c r="M185" s="134"/>
      <c r="N185" s="134"/>
      <c r="O185" s="133"/>
      <c r="P185" s="134"/>
      <c r="Q185" s="134"/>
      <c r="R185" s="134"/>
      <c r="S185" s="134"/>
      <c r="T185" s="134"/>
      <c r="U185" s="134"/>
      <c r="V185" s="134"/>
      <c r="W185" s="134"/>
      <c r="X185" s="90"/>
      <c r="Y185" s="90"/>
      <c r="Z185" s="134">
        <f t="shared" ref="Z185:AP185" si="18">SUBTOTAL(9,Z186:Z186)</f>
        <v>345.26</v>
      </c>
      <c r="AA185" s="134">
        <f t="shared" si="18"/>
        <v>31.07</v>
      </c>
      <c r="AB185" s="134">
        <f t="shared" si="18"/>
        <v>314</v>
      </c>
      <c r="AC185" s="134">
        <f t="shared" si="18"/>
        <v>499</v>
      </c>
      <c r="AD185" s="134">
        <f t="shared" si="18"/>
        <v>0</v>
      </c>
      <c r="AE185" s="134">
        <f t="shared" si="18"/>
        <v>499</v>
      </c>
      <c r="AF185" s="134">
        <f t="shared" si="18"/>
        <v>0</v>
      </c>
      <c r="AG185" s="134">
        <f t="shared" si="18"/>
        <v>0</v>
      </c>
      <c r="AH185" s="134">
        <f t="shared" si="18"/>
        <v>0</v>
      </c>
      <c r="AI185" s="134">
        <f t="shared" si="18"/>
        <v>0</v>
      </c>
      <c r="AJ185" s="134">
        <f t="shared" si="18"/>
        <v>0</v>
      </c>
      <c r="AK185" s="134">
        <f t="shared" si="18"/>
        <v>0</v>
      </c>
      <c r="AL185" s="134">
        <f t="shared" si="18"/>
        <v>0</v>
      </c>
      <c r="AM185" s="134">
        <f t="shared" si="18"/>
        <v>0</v>
      </c>
      <c r="AN185" s="134">
        <f t="shared" si="18"/>
        <v>0</v>
      </c>
      <c r="AO185" s="134">
        <f t="shared" si="18"/>
        <v>0</v>
      </c>
      <c r="AP185" s="134">
        <f t="shared" si="18"/>
        <v>0</v>
      </c>
      <c r="AQ185" s="90"/>
      <c r="AR185" s="90"/>
      <c r="AS185" s="58"/>
      <c r="AT185" s="58"/>
      <c r="AU185" s="91"/>
    </row>
    <row r="186" ht="93.95" customHeight="1" spans="1:47">
      <c r="A186" s="23">
        <f>SUBTOTAL(3,C$9:C186)</f>
        <v>169</v>
      </c>
      <c r="B186" s="55" t="s">
        <v>1577</v>
      </c>
      <c r="C186" s="35" t="s">
        <v>562</v>
      </c>
      <c r="D186" s="55" t="s">
        <v>1578</v>
      </c>
      <c r="E186" s="35" t="s">
        <v>575</v>
      </c>
      <c r="F186" s="35">
        <v>36363</v>
      </c>
      <c r="G186" s="35">
        <v>9021</v>
      </c>
      <c r="H186" s="134"/>
      <c r="I186" s="67">
        <v>1500</v>
      </c>
      <c r="J186" s="67">
        <v>4000</v>
      </c>
      <c r="K186" s="67">
        <v>7000</v>
      </c>
      <c r="L186" s="35">
        <v>10000</v>
      </c>
      <c r="M186" s="134"/>
      <c r="N186" s="123" t="s">
        <v>1579</v>
      </c>
      <c r="O186" s="133"/>
      <c r="P186" s="134"/>
      <c r="Q186" s="134"/>
      <c r="R186" s="134"/>
      <c r="S186" s="134"/>
      <c r="T186" s="134"/>
      <c r="U186" s="134"/>
      <c r="V186" s="134"/>
      <c r="W186" s="134"/>
      <c r="X186" s="90"/>
      <c r="Y186" s="90"/>
      <c r="Z186" s="132">
        <v>345.26</v>
      </c>
      <c r="AA186" s="132">
        <v>31.07</v>
      </c>
      <c r="AB186" s="132">
        <v>314</v>
      </c>
      <c r="AC186" s="132">
        <v>499</v>
      </c>
      <c r="AD186" s="132"/>
      <c r="AE186" s="132">
        <v>499</v>
      </c>
      <c r="AF186" s="132"/>
      <c r="AG186" s="132"/>
      <c r="AH186" s="132"/>
      <c r="AI186" s="132"/>
      <c r="AJ186" s="132"/>
      <c r="AK186" s="132"/>
      <c r="AL186" s="595"/>
      <c r="AM186" s="595"/>
      <c r="AN186" s="595"/>
      <c r="AO186" s="595"/>
      <c r="AP186" s="595"/>
      <c r="AQ186" s="90"/>
      <c r="AR186" s="55" t="s">
        <v>1580</v>
      </c>
      <c r="AS186" s="34" t="s">
        <v>1581</v>
      </c>
      <c r="AT186" s="34" t="s">
        <v>1582</v>
      </c>
      <c r="AU186" s="91"/>
    </row>
    <row r="187" s="9" customFormat="1" ht="28.5" customHeight="1" spans="1:66">
      <c r="A187" s="551" t="s">
        <v>412</v>
      </c>
      <c r="B187" s="557" t="str">
        <f>"供电工程（"&amp;SUBTOTAL(3,C188:C207)&amp;"个）"</f>
        <v>供电工程（20个）</v>
      </c>
      <c r="C187" s="557"/>
      <c r="D187" s="557"/>
      <c r="E187" s="551"/>
      <c r="F187" s="134">
        <f t="shared" ref="F187:L187" si="19">SUBTOTAL(9,F188:F207)</f>
        <v>124978</v>
      </c>
      <c r="G187" s="134">
        <f t="shared" si="19"/>
        <v>39906</v>
      </c>
      <c r="H187" s="134"/>
      <c r="I187" s="134">
        <f t="shared" si="19"/>
        <v>7007</v>
      </c>
      <c r="J187" s="134">
        <f t="shared" si="19"/>
        <v>24453</v>
      </c>
      <c r="K187" s="134">
        <f t="shared" si="19"/>
        <v>41811</v>
      </c>
      <c r="L187" s="134">
        <f t="shared" si="19"/>
        <v>61022</v>
      </c>
      <c r="M187" s="134"/>
      <c r="N187" s="134"/>
      <c r="O187" s="133"/>
      <c r="P187" s="134"/>
      <c r="Q187" s="134"/>
      <c r="R187" s="134"/>
      <c r="S187" s="134"/>
      <c r="T187" s="134"/>
      <c r="U187" s="134"/>
      <c r="V187" s="134"/>
      <c r="W187" s="134"/>
      <c r="X187" s="90"/>
      <c r="Y187" s="90"/>
      <c r="Z187" s="134">
        <f t="shared" ref="Z187:AP187" si="20">SUBTOTAL(9,Z188:Z207)</f>
        <v>128.15</v>
      </c>
      <c r="AA187" s="134">
        <f t="shared" si="20"/>
        <v>11.54</v>
      </c>
      <c r="AB187" s="134">
        <f t="shared" si="20"/>
        <v>116.61</v>
      </c>
      <c r="AC187" s="134">
        <f t="shared" si="20"/>
        <v>70.05</v>
      </c>
      <c r="AD187" s="134">
        <f t="shared" si="20"/>
        <v>20.05</v>
      </c>
      <c r="AE187" s="134">
        <f t="shared" si="20"/>
        <v>50</v>
      </c>
      <c r="AF187" s="134">
        <f t="shared" si="20"/>
        <v>0</v>
      </c>
      <c r="AG187" s="134">
        <f t="shared" si="20"/>
        <v>0</v>
      </c>
      <c r="AH187" s="134">
        <f t="shared" si="20"/>
        <v>0</v>
      </c>
      <c r="AI187" s="134">
        <f t="shared" si="20"/>
        <v>34.15</v>
      </c>
      <c r="AJ187" s="134">
        <f t="shared" si="20"/>
        <v>31.15</v>
      </c>
      <c r="AK187" s="134">
        <f t="shared" si="20"/>
        <v>3</v>
      </c>
      <c r="AL187" s="134">
        <f t="shared" si="20"/>
        <v>0</v>
      </c>
      <c r="AM187" s="134">
        <f t="shared" si="20"/>
        <v>0</v>
      </c>
      <c r="AN187" s="134">
        <f t="shared" si="20"/>
        <v>0</v>
      </c>
      <c r="AO187" s="134">
        <f t="shared" si="20"/>
        <v>4749</v>
      </c>
      <c r="AP187" s="134">
        <f t="shared" si="20"/>
        <v>0</v>
      </c>
      <c r="AQ187" s="90"/>
      <c r="AR187" s="112"/>
      <c r="AS187" s="591"/>
      <c r="AT187" s="591"/>
      <c r="AU187" s="93"/>
      <c r="AV187" s="600"/>
      <c r="AW187" s="840"/>
      <c r="AX187" s="840"/>
      <c r="AY187" s="840"/>
      <c r="AZ187" s="840"/>
      <c r="BA187" s="529"/>
      <c r="BB187" s="600"/>
      <c r="BC187" s="600"/>
      <c r="BD187" s="600"/>
      <c r="BE187" s="529"/>
      <c r="BF187" s="529"/>
      <c r="BG187" s="529"/>
      <c r="BH187" s="873"/>
      <c r="BI187" s="600"/>
      <c r="BJ187" s="201"/>
      <c r="BK187" s="201"/>
      <c r="BN187" s="7"/>
    </row>
    <row r="188" ht="80.1" customHeight="1" spans="1:47">
      <c r="A188" s="23">
        <f>SUBTOTAL(3,C$9:C188)</f>
        <v>170</v>
      </c>
      <c r="B188" s="60" t="s">
        <v>1583</v>
      </c>
      <c r="C188" s="59" t="s">
        <v>79</v>
      </c>
      <c r="D188" s="60" t="s">
        <v>1584</v>
      </c>
      <c r="E188" s="59" t="s">
        <v>112</v>
      </c>
      <c r="F188" s="59">
        <v>5600</v>
      </c>
      <c r="G188" s="134"/>
      <c r="H188" s="81" t="s">
        <v>122</v>
      </c>
      <c r="I188" s="81"/>
      <c r="J188" s="81"/>
      <c r="K188" s="578">
        <v>300</v>
      </c>
      <c r="L188" s="59">
        <v>1000</v>
      </c>
      <c r="M188" s="134"/>
      <c r="N188" s="58" t="s">
        <v>284</v>
      </c>
      <c r="O188" s="133"/>
      <c r="P188" s="134"/>
      <c r="Q188" s="134"/>
      <c r="R188" s="134"/>
      <c r="S188" s="134"/>
      <c r="T188" s="134"/>
      <c r="U188" s="134"/>
      <c r="V188" s="134"/>
      <c r="W188" s="134"/>
      <c r="X188" s="90"/>
      <c r="Y188" s="90"/>
      <c r="Z188" s="134"/>
      <c r="AA188" s="134"/>
      <c r="AB188" s="134"/>
      <c r="AC188" s="134"/>
      <c r="AD188" s="134"/>
      <c r="AE188" s="134"/>
      <c r="AF188" s="134"/>
      <c r="AG188" s="134"/>
      <c r="AH188" s="134"/>
      <c r="AI188" s="134"/>
      <c r="AJ188" s="134"/>
      <c r="AK188" s="134"/>
      <c r="AL188" s="595"/>
      <c r="AM188" s="595"/>
      <c r="AN188" s="595"/>
      <c r="AO188" s="595"/>
      <c r="AP188" s="595"/>
      <c r="AQ188" s="90"/>
      <c r="AR188" s="58" t="s">
        <v>1585</v>
      </c>
      <c r="AS188" s="58" t="s">
        <v>1586</v>
      </c>
      <c r="AT188" s="58" t="s">
        <v>119</v>
      </c>
      <c r="AU188" s="93"/>
    </row>
    <row r="189" ht="72.95" customHeight="1" spans="1:47">
      <c r="A189" s="23">
        <f>SUBTOTAL(3,C$9:C189)</f>
        <v>171</v>
      </c>
      <c r="B189" s="60" t="s">
        <v>1587</v>
      </c>
      <c r="C189" s="59" t="s">
        <v>562</v>
      </c>
      <c r="D189" s="60" t="s">
        <v>1588</v>
      </c>
      <c r="E189" s="59" t="s">
        <v>564</v>
      </c>
      <c r="F189" s="59">
        <v>5518</v>
      </c>
      <c r="G189" s="59">
        <v>10</v>
      </c>
      <c r="H189" s="134"/>
      <c r="I189" s="76"/>
      <c r="J189" s="76">
        <v>400</v>
      </c>
      <c r="K189" s="76">
        <v>1700</v>
      </c>
      <c r="L189" s="59">
        <v>2300</v>
      </c>
      <c r="M189" s="134"/>
      <c r="N189" s="595" t="s">
        <v>1589</v>
      </c>
      <c r="O189" s="133"/>
      <c r="P189" s="134"/>
      <c r="Q189" s="134"/>
      <c r="R189" s="134"/>
      <c r="S189" s="134"/>
      <c r="T189" s="134"/>
      <c r="U189" s="134"/>
      <c r="V189" s="134"/>
      <c r="W189" s="134"/>
      <c r="X189" s="90"/>
      <c r="Y189" s="90"/>
      <c r="Z189" s="132">
        <v>80</v>
      </c>
      <c r="AA189" s="132"/>
      <c r="AB189" s="132">
        <v>80</v>
      </c>
      <c r="AC189" s="132">
        <v>50</v>
      </c>
      <c r="AD189" s="132">
        <v>0</v>
      </c>
      <c r="AE189" s="132">
        <v>50</v>
      </c>
      <c r="AF189" s="251"/>
      <c r="AG189" s="251"/>
      <c r="AH189" s="251"/>
      <c r="AI189" s="251"/>
      <c r="AJ189" s="251"/>
      <c r="AK189" s="251"/>
      <c r="AL189" s="595"/>
      <c r="AM189" s="595"/>
      <c r="AN189" s="595"/>
      <c r="AO189" s="556">
        <v>2300</v>
      </c>
      <c r="AP189" s="595"/>
      <c r="AQ189" s="90"/>
      <c r="AR189" s="60" t="s">
        <v>1590</v>
      </c>
      <c r="AS189" s="58" t="s">
        <v>1586</v>
      </c>
      <c r="AT189" s="58" t="s">
        <v>185</v>
      </c>
      <c r="AU189" s="91"/>
    </row>
    <row r="190" ht="66" customHeight="1" spans="1:47">
      <c r="A190" s="23">
        <f>SUBTOTAL(3,C$9:C190)</f>
        <v>172</v>
      </c>
      <c r="B190" s="60" t="s">
        <v>1591</v>
      </c>
      <c r="C190" s="59" t="s">
        <v>562</v>
      </c>
      <c r="D190" s="60" t="s">
        <v>1592</v>
      </c>
      <c r="E190" s="59" t="s">
        <v>575</v>
      </c>
      <c r="F190" s="59">
        <v>4638</v>
      </c>
      <c r="G190" s="59">
        <v>2900</v>
      </c>
      <c r="H190" s="134"/>
      <c r="I190" s="59">
        <v>150</v>
      </c>
      <c r="J190" s="59">
        <v>350</v>
      </c>
      <c r="K190" s="59">
        <v>450</v>
      </c>
      <c r="L190" s="59">
        <v>500</v>
      </c>
      <c r="M190" s="134"/>
      <c r="N190" s="595" t="s">
        <v>1593</v>
      </c>
      <c r="O190" s="133"/>
      <c r="P190" s="134"/>
      <c r="Q190" s="134"/>
      <c r="R190" s="134"/>
      <c r="S190" s="134"/>
      <c r="T190" s="134"/>
      <c r="U190" s="134"/>
      <c r="V190" s="134"/>
      <c r="W190" s="134"/>
      <c r="X190" s="90"/>
      <c r="Y190" s="90"/>
      <c r="Z190" s="132">
        <v>8</v>
      </c>
      <c r="AA190" s="132"/>
      <c r="AB190" s="132">
        <v>8</v>
      </c>
      <c r="AC190" s="251"/>
      <c r="AD190" s="251"/>
      <c r="AE190" s="251"/>
      <c r="AF190" s="251"/>
      <c r="AG190" s="251"/>
      <c r="AH190" s="251"/>
      <c r="AI190" s="251"/>
      <c r="AJ190" s="251"/>
      <c r="AK190" s="251"/>
      <c r="AL190" s="595"/>
      <c r="AM190" s="595"/>
      <c r="AN190" s="595"/>
      <c r="AO190" s="330">
        <v>1000</v>
      </c>
      <c r="AP190" s="35"/>
      <c r="AQ190" s="90"/>
      <c r="AR190" s="60" t="s">
        <v>1594</v>
      </c>
      <c r="AS190" s="58" t="s">
        <v>1586</v>
      </c>
      <c r="AT190" s="58" t="s">
        <v>185</v>
      </c>
      <c r="AU190" s="91"/>
    </row>
    <row r="191" ht="62.1" customHeight="1" spans="1:47">
      <c r="A191" s="23">
        <f>SUBTOTAL(3,C$9:C191)</f>
        <v>173</v>
      </c>
      <c r="B191" s="60" t="s">
        <v>1595</v>
      </c>
      <c r="C191" s="59" t="s">
        <v>810</v>
      </c>
      <c r="D191" s="58" t="s">
        <v>1596</v>
      </c>
      <c r="E191" s="59" t="s">
        <v>1597</v>
      </c>
      <c r="F191" s="59">
        <v>7597</v>
      </c>
      <c r="G191" s="59">
        <v>6148</v>
      </c>
      <c r="H191" s="81" t="s">
        <v>113</v>
      </c>
      <c r="I191" s="37">
        <v>360</v>
      </c>
      <c r="J191" s="37">
        <v>720</v>
      </c>
      <c r="K191" s="37">
        <v>1080</v>
      </c>
      <c r="L191" s="59">
        <v>1449</v>
      </c>
      <c r="M191" s="134"/>
      <c r="N191" s="123" t="s">
        <v>971</v>
      </c>
      <c r="O191" s="133"/>
      <c r="P191" s="134"/>
      <c r="Q191" s="134"/>
      <c r="R191" s="134"/>
      <c r="S191" s="134"/>
      <c r="T191" s="134"/>
      <c r="U191" s="134"/>
      <c r="V191" s="134"/>
      <c r="W191" s="134"/>
      <c r="X191" s="90"/>
      <c r="Y191" s="90"/>
      <c r="Z191" s="132">
        <v>6</v>
      </c>
      <c r="AA191" s="132"/>
      <c r="AB191" s="132">
        <v>6</v>
      </c>
      <c r="AC191" s="251"/>
      <c r="AD191" s="251"/>
      <c r="AE191" s="251"/>
      <c r="AF191" s="251"/>
      <c r="AG191" s="251"/>
      <c r="AH191" s="251"/>
      <c r="AI191" s="251"/>
      <c r="AJ191" s="251"/>
      <c r="AK191" s="251"/>
      <c r="AL191" s="595"/>
      <c r="AM191" s="595"/>
      <c r="AN191" s="595"/>
      <c r="AO191" s="132">
        <v>1449</v>
      </c>
      <c r="AP191" s="595"/>
      <c r="AQ191" s="90"/>
      <c r="AR191" s="58" t="s">
        <v>1598</v>
      </c>
      <c r="AS191" s="58" t="s">
        <v>1586</v>
      </c>
      <c r="AT191" s="34" t="s">
        <v>185</v>
      </c>
      <c r="AU191" s="93"/>
    </row>
    <row r="192" ht="80.1" customHeight="1" spans="1:47">
      <c r="A192" s="23">
        <f>SUBTOTAL(3,C$9:C192)</f>
        <v>174</v>
      </c>
      <c r="B192" s="60" t="s">
        <v>1599</v>
      </c>
      <c r="C192" s="59" t="s">
        <v>79</v>
      </c>
      <c r="D192" s="60" t="s">
        <v>1600</v>
      </c>
      <c r="E192" s="59" t="s">
        <v>112</v>
      </c>
      <c r="F192" s="59">
        <v>7860</v>
      </c>
      <c r="G192" s="134"/>
      <c r="H192" s="81" t="s">
        <v>195</v>
      </c>
      <c r="I192" s="37">
        <v>620</v>
      </c>
      <c r="J192" s="37">
        <v>2480</v>
      </c>
      <c r="K192" s="37">
        <v>4340</v>
      </c>
      <c r="L192" s="59">
        <v>6200</v>
      </c>
      <c r="M192" s="134"/>
      <c r="N192" s="58" t="s">
        <v>284</v>
      </c>
      <c r="O192" s="133"/>
      <c r="P192" s="134"/>
      <c r="Q192" s="134"/>
      <c r="R192" s="134"/>
      <c r="S192" s="134"/>
      <c r="T192" s="134"/>
      <c r="U192" s="134"/>
      <c r="V192" s="134"/>
      <c r="W192" s="134"/>
      <c r="X192" s="90"/>
      <c r="Y192" s="90"/>
      <c r="Z192" s="595"/>
      <c r="AA192" s="595"/>
      <c r="AB192" s="595"/>
      <c r="AC192" s="595"/>
      <c r="AD192" s="595"/>
      <c r="AE192" s="595"/>
      <c r="AF192" s="595"/>
      <c r="AG192" s="595"/>
      <c r="AH192" s="595"/>
      <c r="AI192" s="595"/>
      <c r="AJ192" s="595"/>
      <c r="AK192" s="595"/>
      <c r="AL192" s="595"/>
      <c r="AM192" s="595"/>
      <c r="AN192" s="595"/>
      <c r="AO192" s="595"/>
      <c r="AP192" s="595"/>
      <c r="AQ192" s="90"/>
      <c r="AR192" s="112" t="s">
        <v>1601</v>
      </c>
      <c r="AS192" s="58" t="s">
        <v>1586</v>
      </c>
      <c r="AT192" s="58" t="s">
        <v>269</v>
      </c>
      <c r="AU192" s="93"/>
    </row>
    <row r="193" ht="80.1" customHeight="1" spans="1:47">
      <c r="A193" s="23">
        <f>SUBTOTAL(3,C$9:C193)</f>
        <v>175</v>
      </c>
      <c r="B193" s="60" t="s">
        <v>1602</v>
      </c>
      <c r="C193" s="59" t="s">
        <v>810</v>
      </c>
      <c r="D193" s="58" t="s">
        <v>1603</v>
      </c>
      <c r="E193" s="59" t="s">
        <v>832</v>
      </c>
      <c r="F193" s="59">
        <v>8600</v>
      </c>
      <c r="G193" s="59">
        <v>1720</v>
      </c>
      <c r="H193" s="81" t="s">
        <v>131</v>
      </c>
      <c r="I193" s="37">
        <v>1376</v>
      </c>
      <c r="J193" s="37">
        <v>3440</v>
      </c>
      <c r="K193" s="37">
        <v>4816</v>
      </c>
      <c r="L193" s="59">
        <v>6880</v>
      </c>
      <c r="M193" s="134"/>
      <c r="N193" s="123" t="s">
        <v>971</v>
      </c>
      <c r="O193" s="133"/>
      <c r="P193" s="134"/>
      <c r="Q193" s="134"/>
      <c r="R193" s="134"/>
      <c r="S193" s="134"/>
      <c r="T193" s="134"/>
      <c r="U193" s="134"/>
      <c r="V193" s="134"/>
      <c r="W193" s="134"/>
      <c r="X193" s="90"/>
      <c r="Y193" s="90"/>
      <c r="Z193" s="132"/>
      <c r="AA193" s="132"/>
      <c r="AB193" s="132"/>
      <c r="AC193" s="132"/>
      <c r="AD193" s="132"/>
      <c r="AE193" s="132"/>
      <c r="AF193" s="132"/>
      <c r="AG193" s="132"/>
      <c r="AH193" s="132"/>
      <c r="AI193" s="132"/>
      <c r="AJ193" s="132"/>
      <c r="AK193" s="132"/>
      <c r="AL193" s="595"/>
      <c r="AM193" s="595"/>
      <c r="AN193" s="595"/>
      <c r="AO193" s="595"/>
      <c r="AP193" s="595"/>
      <c r="AQ193" s="90"/>
      <c r="AR193" s="112" t="s">
        <v>1601</v>
      </c>
      <c r="AS193" s="58" t="s">
        <v>1586</v>
      </c>
      <c r="AT193" s="58" t="s">
        <v>269</v>
      </c>
      <c r="AU193" s="93"/>
    </row>
    <row r="194" ht="57.95" customHeight="1" spans="1:47">
      <c r="A194" s="23">
        <f>SUBTOTAL(3,C$9:C194)</f>
        <v>176</v>
      </c>
      <c r="B194" s="60" t="s">
        <v>1604</v>
      </c>
      <c r="C194" s="59" t="s">
        <v>810</v>
      </c>
      <c r="D194" s="58" t="s">
        <v>1605</v>
      </c>
      <c r="E194" s="59" t="s">
        <v>1606</v>
      </c>
      <c r="F194" s="59">
        <v>6096</v>
      </c>
      <c r="G194" s="59">
        <v>4000</v>
      </c>
      <c r="H194" s="81" t="s">
        <v>131</v>
      </c>
      <c r="I194" s="81"/>
      <c r="J194" s="81"/>
      <c r="K194" s="81"/>
      <c r="L194" s="59">
        <v>2096</v>
      </c>
      <c r="M194" s="134"/>
      <c r="N194" s="123" t="s">
        <v>971</v>
      </c>
      <c r="O194" s="133"/>
      <c r="P194" s="134"/>
      <c r="Q194" s="134"/>
      <c r="R194" s="134"/>
      <c r="S194" s="134"/>
      <c r="T194" s="134"/>
      <c r="U194" s="134"/>
      <c r="V194" s="134"/>
      <c r="W194" s="134"/>
      <c r="X194" s="90"/>
      <c r="Y194" s="90"/>
      <c r="Z194" s="251">
        <v>11.54</v>
      </c>
      <c r="AA194" s="251">
        <v>11.54</v>
      </c>
      <c r="AB194" s="251"/>
      <c r="AC194" s="251"/>
      <c r="AD194" s="251"/>
      <c r="AE194" s="251"/>
      <c r="AF194" s="251"/>
      <c r="AG194" s="251"/>
      <c r="AH194" s="251"/>
      <c r="AI194" s="251">
        <v>11.54</v>
      </c>
      <c r="AJ194" s="251">
        <v>11.54</v>
      </c>
      <c r="AK194" s="251"/>
      <c r="AL194" s="595"/>
      <c r="AM194" s="595"/>
      <c r="AN194" s="595"/>
      <c r="AO194" s="595"/>
      <c r="AP194" s="595"/>
      <c r="AQ194" s="90"/>
      <c r="AR194" s="112" t="s">
        <v>1607</v>
      </c>
      <c r="AS194" s="58" t="s">
        <v>1586</v>
      </c>
      <c r="AT194" s="58" t="s">
        <v>269</v>
      </c>
      <c r="AU194" s="93"/>
    </row>
    <row r="195" ht="75.95" customHeight="1" spans="1:47">
      <c r="A195" s="23">
        <f>SUBTOTAL(3,C$9:C195)</f>
        <v>177</v>
      </c>
      <c r="B195" s="60" t="s">
        <v>1608</v>
      </c>
      <c r="C195" s="59" t="s">
        <v>79</v>
      </c>
      <c r="D195" s="60" t="s">
        <v>1609</v>
      </c>
      <c r="E195" s="59" t="s">
        <v>112</v>
      </c>
      <c r="F195" s="59">
        <v>9295</v>
      </c>
      <c r="G195" s="134"/>
      <c r="H195" s="81" t="s">
        <v>195</v>
      </c>
      <c r="I195" s="37"/>
      <c r="J195" s="37">
        <v>2960</v>
      </c>
      <c r="K195" s="37">
        <v>5180</v>
      </c>
      <c r="L195" s="59">
        <v>7400</v>
      </c>
      <c r="M195" s="134"/>
      <c r="N195" s="58" t="s">
        <v>1610</v>
      </c>
      <c r="O195" s="133"/>
      <c r="P195" s="134"/>
      <c r="Q195" s="134"/>
      <c r="R195" s="134"/>
      <c r="S195" s="134"/>
      <c r="T195" s="134"/>
      <c r="U195" s="134"/>
      <c r="V195" s="134"/>
      <c r="W195" s="134"/>
      <c r="X195" s="90"/>
      <c r="Y195" s="90"/>
      <c r="Z195" s="595"/>
      <c r="AA195" s="595"/>
      <c r="AB195" s="595"/>
      <c r="AC195" s="595"/>
      <c r="AD195" s="595"/>
      <c r="AE195" s="595"/>
      <c r="AF195" s="595"/>
      <c r="AG195" s="595"/>
      <c r="AH195" s="595"/>
      <c r="AI195" s="595"/>
      <c r="AJ195" s="595"/>
      <c r="AK195" s="595"/>
      <c r="AL195" s="595"/>
      <c r="AM195" s="595"/>
      <c r="AN195" s="595"/>
      <c r="AO195" s="595"/>
      <c r="AP195" s="595"/>
      <c r="AQ195" s="90"/>
      <c r="AR195" s="112" t="s">
        <v>1611</v>
      </c>
      <c r="AS195" s="58" t="s">
        <v>1586</v>
      </c>
      <c r="AT195" s="58" t="s">
        <v>317</v>
      </c>
      <c r="AU195" s="93"/>
    </row>
    <row r="196" ht="63" customHeight="1" spans="1:47">
      <c r="A196" s="23">
        <f>SUBTOTAL(3,C$9:C196)</f>
        <v>178</v>
      </c>
      <c r="B196" s="60" t="s">
        <v>1612</v>
      </c>
      <c r="C196" s="59" t="s">
        <v>562</v>
      </c>
      <c r="D196" s="60" t="s">
        <v>1613</v>
      </c>
      <c r="E196" s="59" t="s">
        <v>564</v>
      </c>
      <c r="F196" s="59">
        <v>6280</v>
      </c>
      <c r="G196" s="59">
        <v>1006</v>
      </c>
      <c r="H196" s="134"/>
      <c r="I196" s="76">
        <v>540</v>
      </c>
      <c r="J196" s="76">
        <v>1350</v>
      </c>
      <c r="K196" s="76">
        <v>2100</v>
      </c>
      <c r="L196" s="59">
        <v>2500</v>
      </c>
      <c r="M196" s="134"/>
      <c r="N196" s="595" t="s">
        <v>1589</v>
      </c>
      <c r="O196" s="133"/>
      <c r="P196" s="134"/>
      <c r="Q196" s="134"/>
      <c r="R196" s="134"/>
      <c r="S196" s="134"/>
      <c r="T196" s="134"/>
      <c r="U196" s="134"/>
      <c r="V196" s="134"/>
      <c r="W196" s="134"/>
      <c r="X196" s="90"/>
      <c r="Y196" s="90"/>
      <c r="Z196" s="132">
        <v>11.53</v>
      </c>
      <c r="AA196" s="132"/>
      <c r="AB196" s="132">
        <v>11.53</v>
      </c>
      <c r="AC196" s="132">
        <v>11.53</v>
      </c>
      <c r="AD196" s="132">
        <v>11.53</v>
      </c>
      <c r="AE196" s="132"/>
      <c r="AF196" s="132"/>
      <c r="AG196" s="132"/>
      <c r="AH196" s="132"/>
      <c r="AI196" s="132">
        <v>11.53</v>
      </c>
      <c r="AJ196" s="132">
        <v>11.53</v>
      </c>
      <c r="AK196" s="132"/>
      <c r="AL196" s="595"/>
      <c r="AM196" s="595"/>
      <c r="AN196" s="595"/>
      <c r="AO196" s="595"/>
      <c r="AP196" s="595"/>
      <c r="AQ196" s="90"/>
      <c r="AR196" s="90" t="s">
        <v>1614</v>
      </c>
      <c r="AS196" s="58" t="s">
        <v>1586</v>
      </c>
      <c r="AT196" s="58" t="s">
        <v>317</v>
      </c>
      <c r="AU196" s="91"/>
    </row>
    <row r="197" ht="93.95" customHeight="1" spans="1:47">
      <c r="A197" s="23">
        <f>SUBTOTAL(3,C$9:C197)</f>
        <v>179</v>
      </c>
      <c r="B197" s="60" t="s">
        <v>1615</v>
      </c>
      <c r="C197" s="59" t="s">
        <v>810</v>
      </c>
      <c r="D197" s="565" t="s">
        <v>1616</v>
      </c>
      <c r="E197" s="35" t="s">
        <v>812</v>
      </c>
      <c r="F197" s="35">
        <v>9680</v>
      </c>
      <c r="G197" s="35">
        <v>6800</v>
      </c>
      <c r="H197" s="81" t="s">
        <v>113</v>
      </c>
      <c r="I197" s="37">
        <v>576</v>
      </c>
      <c r="J197" s="37">
        <v>1440</v>
      </c>
      <c r="K197" s="37">
        <v>2016</v>
      </c>
      <c r="L197" s="35">
        <v>2880</v>
      </c>
      <c r="M197" s="134"/>
      <c r="N197" s="123" t="s">
        <v>971</v>
      </c>
      <c r="O197" s="133"/>
      <c r="P197" s="134"/>
      <c r="Q197" s="134"/>
      <c r="R197" s="134"/>
      <c r="S197" s="134"/>
      <c r="T197" s="134"/>
      <c r="U197" s="134"/>
      <c r="V197" s="134"/>
      <c r="W197" s="134"/>
      <c r="X197" s="90"/>
      <c r="Y197" s="90"/>
      <c r="Z197" s="132"/>
      <c r="AA197" s="132"/>
      <c r="AB197" s="132"/>
      <c r="AC197" s="132"/>
      <c r="AD197" s="132"/>
      <c r="AE197" s="132"/>
      <c r="AF197" s="132"/>
      <c r="AG197" s="132"/>
      <c r="AH197" s="132"/>
      <c r="AI197" s="132"/>
      <c r="AJ197" s="132"/>
      <c r="AK197" s="132"/>
      <c r="AL197" s="595"/>
      <c r="AM197" s="595"/>
      <c r="AN197" s="595"/>
      <c r="AO197" s="595"/>
      <c r="AP197" s="595"/>
      <c r="AQ197" s="90"/>
      <c r="AR197" s="34" t="s">
        <v>117</v>
      </c>
      <c r="AS197" s="58" t="s">
        <v>1586</v>
      </c>
      <c r="AT197" s="58" t="s">
        <v>317</v>
      </c>
      <c r="AU197" s="93"/>
    </row>
    <row r="198" ht="80.1" customHeight="1" spans="1:47">
      <c r="A198" s="23">
        <f>SUBTOTAL(3,C$9:C198)</f>
        <v>180</v>
      </c>
      <c r="B198" s="60" t="s">
        <v>1617</v>
      </c>
      <c r="C198" s="59" t="s">
        <v>79</v>
      </c>
      <c r="D198" s="60" t="s">
        <v>1618</v>
      </c>
      <c r="E198" s="59" t="s">
        <v>112</v>
      </c>
      <c r="F198" s="59">
        <v>11500</v>
      </c>
      <c r="G198" s="134"/>
      <c r="H198" s="81" t="s">
        <v>195</v>
      </c>
      <c r="I198" s="59"/>
      <c r="J198" s="37">
        <v>2760</v>
      </c>
      <c r="K198" s="37">
        <v>6440</v>
      </c>
      <c r="L198" s="59">
        <v>9200</v>
      </c>
      <c r="M198" s="134"/>
      <c r="N198" s="58" t="s">
        <v>1619</v>
      </c>
      <c r="O198" s="133"/>
      <c r="P198" s="134"/>
      <c r="Q198" s="134"/>
      <c r="R198" s="134"/>
      <c r="S198" s="134"/>
      <c r="T198" s="134"/>
      <c r="U198" s="134"/>
      <c r="V198" s="134"/>
      <c r="W198" s="134"/>
      <c r="X198" s="90"/>
      <c r="Y198" s="90"/>
      <c r="Z198" s="595"/>
      <c r="AA198" s="595"/>
      <c r="AB198" s="595"/>
      <c r="AC198" s="595"/>
      <c r="AD198" s="595"/>
      <c r="AE198" s="595"/>
      <c r="AF198" s="595"/>
      <c r="AG198" s="595"/>
      <c r="AH198" s="595"/>
      <c r="AI198" s="595"/>
      <c r="AJ198" s="595"/>
      <c r="AK198" s="595"/>
      <c r="AL198" s="595"/>
      <c r="AM198" s="595"/>
      <c r="AN198" s="595"/>
      <c r="AO198" s="595"/>
      <c r="AP198" s="595"/>
      <c r="AQ198" s="90"/>
      <c r="AR198" s="112" t="s">
        <v>1620</v>
      </c>
      <c r="AS198" s="58" t="s">
        <v>1586</v>
      </c>
      <c r="AT198" s="58" t="s">
        <v>1621</v>
      </c>
      <c r="AU198" s="93"/>
    </row>
    <row r="199" ht="57" customHeight="1" spans="1:47">
      <c r="A199" s="23">
        <f>SUBTOTAL(3,C$9:C199)</f>
        <v>181</v>
      </c>
      <c r="B199" s="60" t="s">
        <v>1622</v>
      </c>
      <c r="C199" s="59" t="s">
        <v>810</v>
      </c>
      <c r="D199" s="58" t="s">
        <v>1623</v>
      </c>
      <c r="E199" s="59" t="s">
        <v>832</v>
      </c>
      <c r="F199" s="59">
        <v>8165</v>
      </c>
      <c r="G199" s="59">
        <v>2005</v>
      </c>
      <c r="H199" s="81" t="s">
        <v>131</v>
      </c>
      <c r="I199" s="37">
        <v>1200</v>
      </c>
      <c r="J199" s="37">
        <v>3200</v>
      </c>
      <c r="K199" s="37">
        <v>4900</v>
      </c>
      <c r="L199" s="59">
        <v>6160</v>
      </c>
      <c r="M199" s="134"/>
      <c r="N199" s="123" t="s">
        <v>971</v>
      </c>
      <c r="O199" s="133"/>
      <c r="P199" s="134"/>
      <c r="Q199" s="134"/>
      <c r="R199" s="134"/>
      <c r="S199" s="134"/>
      <c r="T199" s="134"/>
      <c r="U199" s="134"/>
      <c r="V199" s="134"/>
      <c r="W199" s="134"/>
      <c r="X199" s="90"/>
      <c r="Y199" s="90"/>
      <c r="Z199" s="132"/>
      <c r="AA199" s="132"/>
      <c r="AB199" s="132"/>
      <c r="AC199" s="132"/>
      <c r="AD199" s="132"/>
      <c r="AE199" s="132"/>
      <c r="AF199" s="132"/>
      <c r="AG199" s="132"/>
      <c r="AH199" s="132"/>
      <c r="AI199" s="132"/>
      <c r="AJ199" s="132"/>
      <c r="AK199" s="132"/>
      <c r="AL199" s="595"/>
      <c r="AM199" s="595"/>
      <c r="AN199" s="595"/>
      <c r="AO199" s="595"/>
      <c r="AP199" s="595"/>
      <c r="AQ199" s="90"/>
      <c r="AR199" s="112" t="s">
        <v>117</v>
      </c>
      <c r="AS199" s="58" t="s">
        <v>1586</v>
      </c>
      <c r="AT199" s="58" t="s">
        <v>1621</v>
      </c>
      <c r="AU199" s="93"/>
    </row>
    <row r="200" ht="60.95" customHeight="1" spans="1:47">
      <c r="A200" s="23">
        <f>SUBTOTAL(3,C$9:C200)</f>
        <v>182</v>
      </c>
      <c r="B200" s="60" t="s">
        <v>1624</v>
      </c>
      <c r="C200" s="59" t="s">
        <v>79</v>
      </c>
      <c r="D200" s="60" t="s">
        <v>1625</v>
      </c>
      <c r="E200" s="59" t="s">
        <v>81</v>
      </c>
      <c r="F200" s="59">
        <v>7500</v>
      </c>
      <c r="G200" s="134"/>
      <c r="H200" s="81" t="s">
        <v>195</v>
      </c>
      <c r="I200" s="36"/>
      <c r="J200" s="37">
        <v>2008</v>
      </c>
      <c r="K200" s="37">
        <v>3514</v>
      </c>
      <c r="L200" s="59">
        <v>5020</v>
      </c>
      <c r="M200" s="134"/>
      <c r="N200" s="58" t="s">
        <v>1626</v>
      </c>
      <c r="O200" s="133"/>
      <c r="P200" s="134"/>
      <c r="Q200" s="134"/>
      <c r="R200" s="134"/>
      <c r="S200" s="134"/>
      <c r="T200" s="134"/>
      <c r="U200" s="134"/>
      <c r="V200" s="134"/>
      <c r="W200" s="134"/>
      <c r="X200" s="90"/>
      <c r="Y200" s="90"/>
      <c r="Z200" s="595"/>
      <c r="AA200" s="595"/>
      <c r="AB200" s="595"/>
      <c r="AC200" s="595"/>
      <c r="AD200" s="595"/>
      <c r="AE200" s="595"/>
      <c r="AF200" s="595"/>
      <c r="AG200" s="595"/>
      <c r="AH200" s="595"/>
      <c r="AI200" s="595"/>
      <c r="AJ200" s="595"/>
      <c r="AK200" s="595"/>
      <c r="AL200" s="595"/>
      <c r="AM200" s="595"/>
      <c r="AN200" s="595"/>
      <c r="AO200" s="595"/>
      <c r="AP200" s="595"/>
      <c r="AQ200" s="90"/>
      <c r="AR200" s="112" t="s">
        <v>1627</v>
      </c>
      <c r="AS200" s="58" t="s">
        <v>1586</v>
      </c>
      <c r="AT200" s="58" t="s">
        <v>359</v>
      </c>
      <c r="AU200" s="93"/>
    </row>
    <row r="201" ht="84.75" customHeight="1" spans="1:47">
      <c r="A201" s="23">
        <f>SUBTOTAL(3,C$9:C201)</f>
        <v>183</v>
      </c>
      <c r="B201" s="60" t="s">
        <v>1628</v>
      </c>
      <c r="C201" s="23" t="s">
        <v>79</v>
      </c>
      <c r="D201" s="88" t="s">
        <v>1629</v>
      </c>
      <c r="E201" s="23" t="s">
        <v>112</v>
      </c>
      <c r="F201" s="67">
        <v>3235</v>
      </c>
      <c r="G201" s="134"/>
      <c r="H201" s="67" t="s">
        <v>244</v>
      </c>
      <c r="I201" s="59">
        <v>350</v>
      </c>
      <c r="J201" s="37">
        <v>790</v>
      </c>
      <c r="K201" s="37">
        <v>1600</v>
      </c>
      <c r="L201" s="67">
        <v>2000</v>
      </c>
      <c r="M201" s="134"/>
      <c r="N201" s="123" t="s">
        <v>1630</v>
      </c>
      <c r="O201" s="133"/>
      <c r="P201" s="134"/>
      <c r="Q201" s="134"/>
      <c r="R201" s="134"/>
      <c r="S201" s="134"/>
      <c r="T201" s="134"/>
      <c r="U201" s="134"/>
      <c r="V201" s="134"/>
      <c r="W201" s="134"/>
      <c r="X201" s="90"/>
      <c r="Y201" s="90"/>
      <c r="Z201" s="595"/>
      <c r="AA201" s="595"/>
      <c r="AB201" s="595"/>
      <c r="AC201" s="595"/>
      <c r="AD201" s="595"/>
      <c r="AE201" s="595"/>
      <c r="AF201" s="595"/>
      <c r="AG201" s="595"/>
      <c r="AH201" s="595"/>
      <c r="AI201" s="595"/>
      <c r="AJ201" s="595"/>
      <c r="AK201" s="595"/>
      <c r="AL201" s="595"/>
      <c r="AM201" s="595"/>
      <c r="AN201" s="595"/>
      <c r="AO201" s="595"/>
      <c r="AP201" s="595"/>
      <c r="AQ201" s="90"/>
      <c r="AR201" s="112" t="s">
        <v>117</v>
      </c>
      <c r="AS201" s="58" t="s">
        <v>1586</v>
      </c>
      <c r="AT201" s="34" t="s">
        <v>359</v>
      </c>
      <c r="AU201" s="93"/>
    </row>
    <row r="202" ht="87.75" customHeight="1" spans="1:47">
      <c r="A202" s="23">
        <f>SUBTOTAL(3,C$9:C202)</f>
        <v>184</v>
      </c>
      <c r="B202" s="60" t="s">
        <v>1631</v>
      </c>
      <c r="C202" s="23" t="s">
        <v>79</v>
      </c>
      <c r="D202" s="88" t="s">
        <v>1632</v>
      </c>
      <c r="E202" s="23" t="s">
        <v>112</v>
      </c>
      <c r="F202" s="67">
        <v>1247</v>
      </c>
      <c r="G202" s="134"/>
      <c r="H202" s="67" t="s">
        <v>244</v>
      </c>
      <c r="I202" s="87">
        <v>100</v>
      </c>
      <c r="J202" s="37">
        <v>260</v>
      </c>
      <c r="K202" s="37">
        <v>390</v>
      </c>
      <c r="L202" s="67">
        <v>500</v>
      </c>
      <c r="M202" s="134"/>
      <c r="N202" s="123" t="s">
        <v>1630</v>
      </c>
      <c r="O202" s="133"/>
      <c r="P202" s="134"/>
      <c r="Q202" s="134"/>
      <c r="R202" s="134"/>
      <c r="S202" s="134"/>
      <c r="T202" s="134"/>
      <c r="U202" s="134"/>
      <c r="V202" s="134"/>
      <c r="W202" s="134"/>
      <c r="X202" s="90"/>
      <c r="Y202" s="90"/>
      <c r="Z202" s="595"/>
      <c r="AA202" s="595"/>
      <c r="AB202" s="595"/>
      <c r="AC202" s="595"/>
      <c r="AD202" s="595"/>
      <c r="AE202" s="595"/>
      <c r="AF202" s="595"/>
      <c r="AG202" s="595"/>
      <c r="AH202" s="595"/>
      <c r="AI202" s="595"/>
      <c r="AJ202" s="595"/>
      <c r="AK202" s="595"/>
      <c r="AL202" s="595"/>
      <c r="AM202" s="595"/>
      <c r="AN202" s="595"/>
      <c r="AO202" s="595"/>
      <c r="AP202" s="595"/>
      <c r="AQ202" s="90"/>
      <c r="AR202" s="112" t="s">
        <v>117</v>
      </c>
      <c r="AS202" s="58" t="s">
        <v>1586</v>
      </c>
      <c r="AT202" s="34" t="s">
        <v>359</v>
      </c>
      <c r="AU202" s="93"/>
    </row>
    <row r="203" ht="80.1" customHeight="1" spans="1:47">
      <c r="A203" s="23">
        <f>SUBTOTAL(3,C$9:C203)</f>
        <v>185</v>
      </c>
      <c r="B203" s="60" t="s">
        <v>1633</v>
      </c>
      <c r="C203" s="23" t="s">
        <v>79</v>
      </c>
      <c r="D203" s="88" t="s">
        <v>1634</v>
      </c>
      <c r="E203" s="23" t="s">
        <v>112</v>
      </c>
      <c r="F203" s="67">
        <v>1000</v>
      </c>
      <c r="G203" s="134"/>
      <c r="H203" s="67" t="s">
        <v>244</v>
      </c>
      <c r="I203" s="67">
        <v>100</v>
      </c>
      <c r="J203" s="37">
        <v>260</v>
      </c>
      <c r="K203" s="37">
        <v>350</v>
      </c>
      <c r="L203" s="67">
        <v>500</v>
      </c>
      <c r="M203" s="134"/>
      <c r="N203" s="123" t="s">
        <v>1630</v>
      </c>
      <c r="O203" s="133"/>
      <c r="P203" s="134"/>
      <c r="Q203" s="134"/>
      <c r="R203" s="134"/>
      <c r="S203" s="134"/>
      <c r="T203" s="134"/>
      <c r="U203" s="134"/>
      <c r="V203" s="134"/>
      <c r="W203" s="134"/>
      <c r="X203" s="90"/>
      <c r="Y203" s="90"/>
      <c r="Z203" s="595"/>
      <c r="AA203" s="595"/>
      <c r="AB203" s="595"/>
      <c r="AC203" s="595"/>
      <c r="AD203" s="595"/>
      <c r="AE203" s="595"/>
      <c r="AF203" s="595"/>
      <c r="AG203" s="595"/>
      <c r="AH203" s="595"/>
      <c r="AI203" s="595"/>
      <c r="AJ203" s="595"/>
      <c r="AK203" s="595"/>
      <c r="AL203" s="595"/>
      <c r="AM203" s="595"/>
      <c r="AN203" s="595"/>
      <c r="AO203" s="595"/>
      <c r="AP203" s="595"/>
      <c r="AQ203" s="90"/>
      <c r="AR203" s="112" t="s">
        <v>117</v>
      </c>
      <c r="AS203" s="123" t="s">
        <v>1586</v>
      </c>
      <c r="AT203" s="34" t="s">
        <v>359</v>
      </c>
      <c r="AU203" s="93"/>
    </row>
    <row r="204" ht="80.1" customHeight="1" spans="1:47">
      <c r="A204" s="23">
        <f>SUBTOTAL(3,C$9:C204)</f>
        <v>186</v>
      </c>
      <c r="B204" s="60" t="s">
        <v>1635</v>
      </c>
      <c r="C204" s="59" t="s">
        <v>810</v>
      </c>
      <c r="D204" s="58" t="s">
        <v>1636</v>
      </c>
      <c r="E204" s="59" t="s">
        <v>1606</v>
      </c>
      <c r="F204" s="59">
        <v>7212</v>
      </c>
      <c r="G204" s="59">
        <v>6110</v>
      </c>
      <c r="H204" s="81" t="s">
        <v>131</v>
      </c>
      <c r="I204" s="37"/>
      <c r="J204" s="37"/>
      <c r="K204" s="37"/>
      <c r="L204" s="59">
        <v>1102</v>
      </c>
      <c r="M204" s="134"/>
      <c r="N204" s="123" t="s">
        <v>971</v>
      </c>
      <c r="O204" s="133"/>
      <c r="P204" s="134"/>
      <c r="Q204" s="134"/>
      <c r="R204" s="134"/>
      <c r="S204" s="134"/>
      <c r="T204" s="134"/>
      <c r="U204" s="134"/>
      <c r="V204" s="134"/>
      <c r="W204" s="134"/>
      <c r="X204" s="90"/>
      <c r="Y204" s="90"/>
      <c r="Z204" s="251">
        <v>2.56</v>
      </c>
      <c r="AA204" s="251"/>
      <c r="AB204" s="251">
        <v>2.56</v>
      </c>
      <c r="AC204" s="251"/>
      <c r="AD204" s="251"/>
      <c r="AE204" s="251"/>
      <c r="AF204" s="251"/>
      <c r="AG204" s="251"/>
      <c r="AH204" s="251"/>
      <c r="AI204" s="251">
        <v>2.56</v>
      </c>
      <c r="AJ204" s="251">
        <v>2.56</v>
      </c>
      <c r="AK204" s="251"/>
      <c r="AL204" s="595"/>
      <c r="AM204" s="595"/>
      <c r="AN204" s="595"/>
      <c r="AO204" s="595"/>
      <c r="AP204" s="595"/>
      <c r="AQ204" s="90"/>
      <c r="AR204" s="58" t="s">
        <v>1637</v>
      </c>
      <c r="AS204" s="58" t="s">
        <v>1586</v>
      </c>
      <c r="AT204" s="58" t="s">
        <v>359</v>
      </c>
      <c r="AU204" s="93"/>
    </row>
    <row r="205" ht="80.1" customHeight="1" spans="1:47">
      <c r="A205" s="23">
        <f>SUBTOTAL(3,C$9:C205)</f>
        <v>187</v>
      </c>
      <c r="B205" s="60" t="s">
        <v>1638</v>
      </c>
      <c r="C205" s="59" t="s">
        <v>810</v>
      </c>
      <c r="D205" s="58" t="s">
        <v>1639</v>
      </c>
      <c r="E205" s="59" t="s">
        <v>1606</v>
      </c>
      <c r="F205" s="59">
        <v>6796</v>
      </c>
      <c r="G205" s="59">
        <v>6200</v>
      </c>
      <c r="H205" s="81" t="s">
        <v>113</v>
      </c>
      <c r="I205" s="37">
        <v>596</v>
      </c>
      <c r="J205" s="37">
        <v>596</v>
      </c>
      <c r="K205" s="37">
        <v>596</v>
      </c>
      <c r="L205" s="59">
        <v>596</v>
      </c>
      <c r="M205" s="134"/>
      <c r="N205" s="123" t="s">
        <v>971</v>
      </c>
      <c r="O205" s="133"/>
      <c r="P205" s="134"/>
      <c r="Q205" s="134"/>
      <c r="R205" s="134"/>
      <c r="S205" s="134"/>
      <c r="T205" s="134"/>
      <c r="U205" s="134"/>
      <c r="V205" s="134"/>
      <c r="W205" s="134"/>
      <c r="X205" s="90"/>
      <c r="Y205" s="90"/>
      <c r="Z205" s="251"/>
      <c r="AA205" s="251"/>
      <c r="AB205" s="251"/>
      <c r="AC205" s="251"/>
      <c r="AD205" s="251"/>
      <c r="AE205" s="251"/>
      <c r="AF205" s="251"/>
      <c r="AG205" s="251"/>
      <c r="AH205" s="251"/>
      <c r="AI205" s="251"/>
      <c r="AJ205" s="251"/>
      <c r="AK205" s="251"/>
      <c r="AL205" s="595"/>
      <c r="AM205" s="595"/>
      <c r="AN205" s="595"/>
      <c r="AO205" s="595"/>
      <c r="AP205" s="595"/>
      <c r="AQ205" s="90"/>
      <c r="AR205" s="58" t="s">
        <v>1640</v>
      </c>
      <c r="AS205" s="58" t="s">
        <v>1586</v>
      </c>
      <c r="AT205" s="58" t="s">
        <v>359</v>
      </c>
      <c r="AU205" s="93"/>
    </row>
    <row r="206" ht="80.1" customHeight="1" spans="1:47">
      <c r="A206" s="23">
        <f>SUBTOTAL(3,C$9:C206)</f>
        <v>188</v>
      </c>
      <c r="B206" s="60" t="s">
        <v>1641</v>
      </c>
      <c r="C206" s="59" t="s">
        <v>562</v>
      </c>
      <c r="D206" s="60" t="s">
        <v>1642</v>
      </c>
      <c r="E206" s="59" t="s">
        <v>627</v>
      </c>
      <c r="F206" s="59">
        <v>5060</v>
      </c>
      <c r="G206" s="59">
        <v>1547</v>
      </c>
      <c r="H206" s="134"/>
      <c r="I206" s="76">
        <v>400</v>
      </c>
      <c r="J206" s="76">
        <v>800</v>
      </c>
      <c r="K206" s="76">
        <v>1400</v>
      </c>
      <c r="L206" s="59">
        <v>2100</v>
      </c>
      <c r="M206" s="134"/>
      <c r="N206" s="595" t="s">
        <v>1589</v>
      </c>
      <c r="O206" s="133"/>
      <c r="P206" s="134"/>
      <c r="Q206" s="134"/>
      <c r="R206" s="134"/>
      <c r="S206" s="134"/>
      <c r="T206" s="134"/>
      <c r="U206" s="134"/>
      <c r="V206" s="134"/>
      <c r="W206" s="134"/>
      <c r="X206" s="90"/>
      <c r="Y206" s="90"/>
      <c r="Z206" s="251">
        <v>8.52</v>
      </c>
      <c r="AA206" s="251"/>
      <c r="AB206" s="251">
        <v>8.52</v>
      </c>
      <c r="AC206" s="251">
        <v>8.52</v>
      </c>
      <c r="AD206" s="251">
        <v>8.52</v>
      </c>
      <c r="AE206" s="251"/>
      <c r="AF206" s="251"/>
      <c r="AG206" s="251"/>
      <c r="AH206" s="251"/>
      <c r="AI206" s="251">
        <v>8.52</v>
      </c>
      <c r="AJ206" s="251">
        <v>5.52</v>
      </c>
      <c r="AK206" s="251">
        <v>3</v>
      </c>
      <c r="AL206" s="595"/>
      <c r="AM206" s="595"/>
      <c r="AN206" s="595"/>
      <c r="AO206" s="595"/>
      <c r="AP206" s="595"/>
      <c r="AQ206" s="90"/>
      <c r="AR206" s="60" t="s">
        <v>1643</v>
      </c>
      <c r="AS206" s="58" t="s">
        <v>1586</v>
      </c>
      <c r="AT206" s="58" t="s">
        <v>375</v>
      </c>
      <c r="AU206" s="91"/>
    </row>
    <row r="207" ht="87" customHeight="1" spans="1:47">
      <c r="A207" s="23">
        <f>SUBTOTAL(3,C$9:C207)</f>
        <v>189</v>
      </c>
      <c r="B207" s="630" t="s">
        <v>1644</v>
      </c>
      <c r="C207" s="59" t="s">
        <v>810</v>
      </c>
      <c r="D207" s="58" t="s">
        <v>1645</v>
      </c>
      <c r="E207" s="35" t="s">
        <v>812</v>
      </c>
      <c r="F207" s="902">
        <v>2099</v>
      </c>
      <c r="G207" s="902">
        <v>1460</v>
      </c>
      <c r="H207" s="81" t="s">
        <v>131</v>
      </c>
      <c r="I207" s="37">
        <v>639</v>
      </c>
      <c r="J207" s="37">
        <v>639</v>
      </c>
      <c r="K207" s="37">
        <v>639</v>
      </c>
      <c r="L207" s="637">
        <v>639</v>
      </c>
      <c r="M207" s="134"/>
      <c r="N207" s="123" t="s">
        <v>971</v>
      </c>
      <c r="O207" s="133"/>
      <c r="P207" s="134"/>
      <c r="Q207" s="134"/>
      <c r="R207" s="134"/>
      <c r="S207" s="134"/>
      <c r="T207" s="134"/>
      <c r="U207" s="134"/>
      <c r="V207" s="134"/>
      <c r="W207" s="134"/>
      <c r="X207" s="90"/>
      <c r="Y207" s="90"/>
      <c r="Z207" s="251"/>
      <c r="AA207" s="251"/>
      <c r="AB207" s="251"/>
      <c r="AC207" s="251"/>
      <c r="AD207" s="251"/>
      <c r="AE207" s="251"/>
      <c r="AF207" s="251"/>
      <c r="AG207" s="251"/>
      <c r="AH207" s="251"/>
      <c r="AI207" s="251"/>
      <c r="AJ207" s="251"/>
      <c r="AK207" s="251"/>
      <c r="AL207" s="595"/>
      <c r="AM207" s="595"/>
      <c r="AN207" s="595"/>
      <c r="AO207" s="595"/>
      <c r="AP207" s="595"/>
      <c r="AQ207" s="90"/>
      <c r="AR207" s="58" t="s">
        <v>1646</v>
      </c>
      <c r="AS207" s="58" t="s">
        <v>1586</v>
      </c>
      <c r="AT207" s="58" t="s">
        <v>375</v>
      </c>
      <c r="AU207" s="93"/>
    </row>
    <row r="208" ht="32.25" customHeight="1" spans="1:47">
      <c r="A208" s="551" t="s">
        <v>448</v>
      </c>
      <c r="B208" s="557" t="str">
        <f>"其他（"&amp;SUBTOTAL(3,C209:C220)&amp;"个）"</f>
        <v>其他（12个）</v>
      </c>
      <c r="C208" s="557"/>
      <c r="D208" s="557"/>
      <c r="E208" s="35"/>
      <c r="F208" s="134">
        <f t="shared" ref="F208:L208" si="21">SUBTOTAL(9,F209:F220)</f>
        <v>1798558</v>
      </c>
      <c r="G208" s="134">
        <f t="shared" si="21"/>
        <v>46952</v>
      </c>
      <c r="H208" s="134"/>
      <c r="I208" s="134">
        <f t="shared" si="21"/>
        <v>10920</v>
      </c>
      <c r="J208" s="134">
        <f t="shared" si="21"/>
        <v>21850</v>
      </c>
      <c r="K208" s="134">
        <f t="shared" si="21"/>
        <v>45500</v>
      </c>
      <c r="L208" s="134">
        <f t="shared" si="21"/>
        <v>102157</v>
      </c>
      <c r="M208" s="134"/>
      <c r="N208" s="134"/>
      <c r="O208" s="133"/>
      <c r="P208" s="134"/>
      <c r="Q208" s="134"/>
      <c r="R208" s="134"/>
      <c r="S208" s="134"/>
      <c r="T208" s="134"/>
      <c r="U208" s="134"/>
      <c r="V208" s="134"/>
      <c r="W208" s="134"/>
      <c r="X208" s="90"/>
      <c r="Y208" s="90"/>
      <c r="Z208" s="134">
        <f t="shared" ref="Z208:AP208" si="22">SUBTOTAL(9,Z209:Z220)</f>
        <v>3888.89</v>
      </c>
      <c r="AA208" s="134">
        <f t="shared" si="22"/>
        <v>625.69</v>
      </c>
      <c r="AB208" s="134">
        <f t="shared" si="22"/>
        <v>3263.2</v>
      </c>
      <c r="AC208" s="134">
        <f t="shared" si="22"/>
        <v>3478.1925</v>
      </c>
      <c r="AD208" s="134">
        <f t="shared" si="22"/>
        <v>3477.9195</v>
      </c>
      <c r="AE208" s="134">
        <f t="shared" si="22"/>
        <v>0</v>
      </c>
      <c r="AF208" s="134">
        <f t="shared" si="22"/>
        <v>136</v>
      </c>
      <c r="AG208" s="134">
        <f t="shared" si="22"/>
        <v>0</v>
      </c>
      <c r="AH208" s="134">
        <f t="shared" si="22"/>
        <v>136</v>
      </c>
      <c r="AI208" s="134">
        <f t="shared" si="22"/>
        <v>2975</v>
      </c>
      <c r="AJ208" s="134">
        <f t="shared" si="22"/>
        <v>200</v>
      </c>
      <c r="AK208" s="134">
        <f t="shared" si="22"/>
        <v>2775</v>
      </c>
      <c r="AL208" s="134">
        <f t="shared" si="22"/>
        <v>0</v>
      </c>
      <c r="AM208" s="134">
        <f t="shared" si="22"/>
        <v>0</v>
      </c>
      <c r="AN208" s="134">
        <f t="shared" si="22"/>
        <v>0</v>
      </c>
      <c r="AO208" s="134">
        <f t="shared" si="22"/>
        <v>19800</v>
      </c>
      <c r="AP208" s="134">
        <f t="shared" si="22"/>
        <v>36000</v>
      </c>
      <c r="AQ208" s="90"/>
      <c r="AR208" s="55"/>
      <c r="AS208" s="34"/>
      <c r="AT208" s="34"/>
      <c r="AU208" s="91"/>
    </row>
    <row r="209" ht="80.1" customHeight="1" spans="1:47">
      <c r="A209" s="23">
        <f>SUBTOTAL(3,C$9:C209)</f>
        <v>190</v>
      </c>
      <c r="B209" s="55" t="s">
        <v>1647</v>
      </c>
      <c r="C209" s="23" t="s">
        <v>79</v>
      </c>
      <c r="D209" s="55" t="s">
        <v>1648</v>
      </c>
      <c r="E209" s="35" t="s">
        <v>112</v>
      </c>
      <c r="F209" s="38">
        <v>18580</v>
      </c>
      <c r="G209" s="134"/>
      <c r="H209" s="81" t="s">
        <v>131</v>
      </c>
      <c r="I209" s="81"/>
      <c r="J209" s="81"/>
      <c r="K209" s="81"/>
      <c r="L209" s="38">
        <v>15000</v>
      </c>
      <c r="M209" s="134"/>
      <c r="N209" s="58" t="s">
        <v>284</v>
      </c>
      <c r="O209" s="133"/>
      <c r="P209" s="134"/>
      <c r="Q209" s="134"/>
      <c r="R209" s="134"/>
      <c r="S209" s="134"/>
      <c r="T209" s="134"/>
      <c r="U209" s="134"/>
      <c r="V209" s="134"/>
      <c r="W209" s="134"/>
      <c r="X209" s="90"/>
      <c r="Y209" s="90"/>
      <c r="Z209" s="251"/>
      <c r="AA209" s="251"/>
      <c r="AB209" s="251"/>
      <c r="AC209" s="251"/>
      <c r="AD209" s="251"/>
      <c r="AE209" s="251"/>
      <c r="AF209" s="251"/>
      <c r="AG209" s="251"/>
      <c r="AH209" s="251"/>
      <c r="AI209" s="251"/>
      <c r="AJ209" s="251"/>
      <c r="AK209" s="251"/>
      <c r="AL209" s="595"/>
      <c r="AM209" s="595"/>
      <c r="AN209" s="595"/>
      <c r="AO209" s="595"/>
      <c r="AP209" s="595"/>
      <c r="AQ209" s="90"/>
      <c r="AR209" s="112" t="s">
        <v>117</v>
      </c>
      <c r="AS209" s="34" t="s">
        <v>1649</v>
      </c>
      <c r="AT209" s="34" t="s">
        <v>119</v>
      </c>
      <c r="AU209" s="93"/>
    </row>
    <row r="210" s="9" customFormat="1" ht="80.1" customHeight="1" spans="1:66">
      <c r="A210" s="23">
        <f>SUBTOTAL(3,C$9:C210)</f>
        <v>191</v>
      </c>
      <c r="B210" s="34" t="s">
        <v>1650</v>
      </c>
      <c r="C210" s="35" t="s">
        <v>79</v>
      </c>
      <c r="D210" s="34" t="s">
        <v>1651</v>
      </c>
      <c r="E210" s="903" t="s">
        <v>81</v>
      </c>
      <c r="F210" s="35">
        <v>110000</v>
      </c>
      <c r="G210" s="156"/>
      <c r="H210" s="851" t="s">
        <v>131</v>
      </c>
      <c r="I210" s="156"/>
      <c r="J210" s="156"/>
      <c r="K210" s="156"/>
      <c r="L210" s="156">
        <v>1000</v>
      </c>
      <c r="M210" s="156"/>
      <c r="N210" s="58" t="s">
        <v>284</v>
      </c>
      <c r="O210" s="156"/>
      <c r="P210" s="156"/>
      <c r="Q210" s="156"/>
      <c r="R210" s="156"/>
      <c r="S210" s="156"/>
      <c r="T210" s="156"/>
      <c r="U210" s="156"/>
      <c r="V210" s="156"/>
      <c r="W210" s="156"/>
      <c r="X210" s="156"/>
      <c r="Y210" s="156"/>
      <c r="Z210" s="156"/>
      <c r="AA210" s="156"/>
      <c r="AB210" s="156"/>
      <c r="AC210" s="156"/>
      <c r="AD210" s="156"/>
      <c r="AE210" s="156"/>
      <c r="AF210" s="156"/>
      <c r="AG210" s="156"/>
      <c r="AH210" s="156"/>
      <c r="AI210" s="156"/>
      <c r="AJ210" s="156"/>
      <c r="AK210" s="156"/>
      <c r="AL210" s="156"/>
      <c r="AM210" s="156"/>
      <c r="AN210" s="156"/>
      <c r="AO210" s="836">
        <v>1000</v>
      </c>
      <c r="AP210" s="836"/>
      <c r="AQ210" s="156"/>
      <c r="AR210" s="34" t="s">
        <v>117</v>
      </c>
      <c r="AS210" s="34" t="s">
        <v>1652</v>
      </c>
      <c r="AT210" s="123" t="s">
        <v>166</v>
      </c>
      <c r="AU210" s="156"/>
      <c r="AV210" s="600"/>
      <c r="AW210" s="840"/>
      <c r="AX210" s="840"/>
      <c r="AY210" s="840"/>
      <c r="AZ210" s="840"/>
      <c r="BA210" s="529"/>
      <c r="BB210" s="600"/>
      <c r="BC210" s="600"/>
      <c r="BD210" s="600"/>
      <c r="BE210" s="529"/>
      <c r="BF210" s="529"/>
      <c r="BG210" s="529"/>
      <c r="BH210" s="873"/>
      <c r="BI210" s="600"/>
      <c r="BJ210" s="201"/>
      <c r="BK210" s="201"/>
      <c r="BN210" s="7"/>
    </row>
    <row r="211" s="9" customFormat="1" ht="80.1" customHeight="1" spans="1:66">
      <c r="A211" s="23">
        <f>SUBTOTAL(3,C$9:C211)</f>
        <v>192</v>
      </c>
      <c r="B211" s="34" t="s">
        <v>1653</v>
      </c>
      <c r="C211" s="35" t="s">
        <v>79</v>
      </c>
      <c r="D211" s="34" t="s">
        <v>1654</v>
      </c>
      <c r="E211" s="35" t="s">
        <v>112</v>
      </c>
      <c r="F211" s="38">
        <v>30814</v>
      </c>
      <c r="G211" s="156"/>
      <c r="H211" s="904" t="s">
        <v>82</v>
      </c>
      <c r="I211" s="156"/>
      <c r="J211" s="156"/>
      <c r="K211" s="156"/>
      <c r="L211" s="156">
        <v>2000</v>
      </c>
      <c r="M211" s="156"/>
      <c r="N211" s="112" t="s">
        <v>1655</v>
      </c>
      <c r="O211" s="156"/>
      <c r="P211" s="156"/>
      <c r="Q211" s="156"/>
      <c r="R211" s="156"/>
      <c r="S211" s="156"/>
      <c r="T211" s="156"/>
      <c r="U211" s="156"/>
      <c r="V211" s="156"/>
      <c r="W211" s="156"/>
      <c r="X211" s="156"/>
      <c r="Y211" s="156"/>
      <c r="Z211" s="156"/>
      <c r="AA211" s="156"/>
      <c r="AB211" s="156"/>
      <c r="AC211" s="156"/>
      <c r="AD211" s="156"/>
      <c r="AE211" s="156"/>
      <c r="AF211" s="156"/>
      <c r="AG211" s="156"/>
      <c r="AH211" s="156"/>
      <c r="AI211" s="156"/>
      <c r="AJ211" s="156"/>
      <c r="AK211" s="156"/>
      <c r="AL211" s="156"/>
      <c r="AM211" s="156"/>
      <c r="AN211" s="156"/>
      <c r="AO211" s="99">
        <v>2000</v>
      </c>
      <c r="AP211" s="99"/>
      <c r="AQ211" s="156"/>
      <c r="AR211" s="34" t="s">
        <v>117</v>
      </c>
      <c r="AS211" s="123" t="s">
        <v>1125</v>
      </c>
      <c r="AT211" s="123" t="s">
        <v>166</v>
      </c>
      <c r="AU211" s="156"/>
      <c r="AV211" s="600"/>
      <c r="AW211" s="840"/>
      <c r="AX211" s="840"/>
      <c r="AY211" s="840"/>
      <c r="AZ211" s="840"/>
      <c r="BA211" s="529"/>
      <c r="BB211" s="600"/>
      <c r="BC211" s="600"/>
      <c r="BD211" s="600"/>
      <c r="BE211" s="529"/>
      <c r="BF211" s="529"/>
      <c r="BG211" s="529"/>
      <c r="BH211" s="873"/>
      <c r="BI211" s="600"/>
      <c r="BJ211" s="201"/>
      <c r="BK211" s="201"/>
      <c r="BN211" s="7"/>
    </row>
    <row r="212" ht="80.1" customHeight="1" spans="1:47">
      <c r="A212" s="23">
        <f>SUBTOTAL(3,C$9:C212)</f>
        <v>193</v>
      </c>
      <c r="B212" s="60" t="s">
        <v>1656</v>
      </c>
      <c r="C212" s="23" t="s">
        <v>562</v>
      </c>
      <c r="D212" s="60" t="s">
        <v>1657</v>
      </c>
      <c r="E212" s="23" t="s">
        <v>564</v>
      </c>
      <c r="F212" s="67">
        <v>5180</v>
      </c>
      <c r="G212" s="67">
        <v>2600</v>
      </c>
      <c r="H212" s="134"/>
      <c r="I212" s="36">
        <v>250</v>
      </c>
      <c r="J212" s="36">
        <v>500</v>
      </c>
      <c r="K212" s="36">
        <v>750</v>
      </c>
      <c r="L212" s="67">
        <v>1000</v>
      </c>
      <c r="M212" s="134"/>
      <c r="N212" s="112" t="s">
        <v>1658</v>
      </c>
      <c r="O212" s="133"/>
      <c r="P212" s="134"/>
      <c r="Q212" s="134"/>
      <c r="R212" s="134"/>
      <c r="S212" s="134"/>
      <c r="T212" s="134"/>
      <c r="U212" s="134"/>
      <c r="V212" s="134"/>
      <c r="W212" s="134"/>
      <c r="X212" s="90"/>
      <c r="Y212" s="90"/>
      <c r="Z212" s="132"/>
      <c r="AA212" s="132"/>
      <c r="AB212" s="132"/>
      <c r="AC212" s="132"/>
      <c r="AD212" s="132"/>
      <c r="AE212" s="132"/>
      <c r="AF212" s="132"/>
      <c r="AG212" s="132"/>
      <c r="AH212" s="132"/>
      <c r="AI212" s="132"/>
      <c r="AJ212" s="132"/>
      <c r="AK212" s="132"/>
      <c r="AL212" s="595"/>
      <c r="AM212" s="595"/>
      <c r="AN212" s="595"/>
      <c r="AO212" s="595"/>
      <c r="AP212" s="595"/>
      <c r="AQ212" s="90"/>
      <c r="AR212" s="90" t="s">
        <v>117</v>
      </c>
      <c r="AS212" s="906" t="s">
        <v>1659</v>
      </c>
      <c r="AT212" s="123" t="s">
        <v>166</v>
      </c>
      <c r="AU212" s="91"/>
    </row>
    <row r="213" ht="80.1" customHeight="1" spans="1:47">
      <c r="A213" s="23">
        <f>SUBTOTAL(3,C$9:C213)</f>
        <v>194</v>
      </c>
      <c r="B213" s="697" t="s">
        <v>1660</v>
      </c>
      <c r="C213" s="35" t="s">
        <v>562</v>
      </c>
      <c r="D213" s="697" t="s">
        <v>1661</v>
      </c>
      <c r="E213" s="81" t="s">
        <v>1662</v>
      </c>
      <c r="F213" s="156">
        <v>1150000</v>
      </c>
      <c r="G213" s="67">
        <v>6500</v>
      </c>
      <c r="H213" s="134"/>
      <c r="I213" s="67">
        <v>7000</v>
      </c>
      <c r="J213" s="67">
        <v>12000</v>
      </c>
      <c r="K213" s="67">
        <v>30000</v>
      </c>
      <c r="L213" s="67">
        <v>46500</v>
      </c>
      <c r="M213" s="134"/>
      <c r="N213" s="595" t="s">
        <v>1663</v>
      </c>
      <c r="O213" s="132"/>
      <c r="P213" s="132"/>
      <c r="Q213" s="132"/>
      <c r="R213" s="132"/>
      <c r="S213" s="132"/>
      <c r="T213" s="132"/>
      <c r="U213" s="132"/>
      <c r="V213" s="132"/>
      <c r="W213" s="132"/>
      <c r="X213" s="132"/>
      <c r="Y213" s="132"/>
      <c r="Z213" s="132">
        <v>2880</v>
      </c>
      <c r="AA213" s="132">
        <v>200</v>
      </c>
      <c r="AB213" s="132">
        <v>2680</v>
      </c>
      <c r="AC213" s="132">
        <v>3045</v>
      </c>
      <c r="AD213" s="132">
        <v>3045</v>
      </c>
      <c r="AE213" s="132"/>
      <c r="AF213" s="132">
        <v>136</v>
      </c>
      <c r="AG213" s="132"/>
      <c r="AH213" s="132">
        <v>136</v>
      </c>
      <c r="AI213" s="132">
        <v>2880</v>
      </c>
      <c r="AJ213" s="132">
        <v>200</v>
      </c>
      <c r="AK213" s="132">
        <v>2680</v>
      </c>
      <c r="AL213" s="132"/>
      <c r="AM213" s="132"/>
      <c r="AN213" s="132"/>
      <c r="AO213" s="132">
        <v>16800</v>
      </c>
      <c r="AP213" s="132">
        <v>36000</v>
      </c>
      <c r="AQ213" s="90"/>
      <c r="AR213" s="55" t="s">
        <v>1664</v>
      </c>
      <c r="AS213" s="131" t="s">
        <v>1665</v>
      </c>
      <c r="AT213" s="131" t="s">
        <v>185</v>
      </c>
      <c r="AU213" s="91" t="s">
        <v>1666</v>
      </c>
    </row>
    <row r="214" s="9" customFormat="1" ht="80.1" customHeight="1" spans="1:66">
      <c r="A214" s="23">
        <f>SUBTOTAL(3,C$9:C214)</f>
        <v>195</v>
      </c>
      <c r="B214" s="696" t="s">
        <v>1667</v>
      </c>
      <c r="C214" s="76" t="s">
        <v>562</v>
      </c>
      <c r="D214" s="55" t="s">
        <v>1668</v>
      </c>
      <c r="E214" s="77" t="s">
        <v>588</v>
      </c>
      <c r="F214" s="38">
        <v>17000</v>
      </c>
      <c r="G214" s="36">
        <v>2638</v>
      </c>
      <c r="H214" s="134"/>
      <c r="I214" s="67">
        <v>1000</v>
      </c>
      <c r="J214" s="67">
        <v>2500</v>
      </c>
      <c r="K214" s="67">
        <v>4000</v>
      </c>
      <c r="L214" s="708">
        <v>4500</v>
      </c>
      <c r="M214" s="134"/>
      <c r="N214" s="123" t="s">
        <v>1669</v>
      </c>
      <c r="O214" s="133"/>
      <c r="P214" s="134"/>
      <c r="Q214" s="134"/>
      <c r="R214" s="134"/>
      <c r="S214" s="134"/>
      <c r="T214" s="134"/>
      <c r="U214" s="134"/>
      <c r="V214" s="134"/>
      <c r="W214" s="134"/>
      <c r="X214" s="90"/>
      <c r="Y214" s="90"/>
      <c r="Z214" s="132"/>
      <c r="AA214" s="132"/>
      <c r="AB214" s="132"/>
      <c r="AC214" s="132">
        <v>7.1925</v>
      </c>
      <c r="AD214" s="132">
        <v>7.1925</v>
      </c>
      <c r="AE214" s="132"/>
      <c r="AF214" s="132"/>
      <c r="AG214" s="132"/>
      <c r="AH214" s="132"/>
      <c r="AI214" s="132">
        <v>55</v>
      </c>
      <c r="AJ214" s="132"/>
      <c r="AK214" s="132">
        <v>55</v>
      </c>
      <c r="AL214" s="595"/>
      <c r="AM214" s="595"/>
      <c r="AN214" s="595"/>
      <c r="AO214" s="595"/>
      <c r="AP214" s="595"/>
      <c r="AQ214" s="90"/>
      <c r="AR214" s="90" t="s">
        <v>1670</v>
      </c>
      <c r="AS214" s="34" t="s">
        <v>1040</v>
      </c>
      <c r="AT214" s="34" t="s">
        <v>498</v>
      </c>
      <c r="AU214" s="34"/>
      <c r="AV214" s="600"/>
      <c r="AW214" s="840"/>
      <c r="AX214" s="840"/>
      <c r="AY214" s="840"/>
      <c r="AZ214" s="840"/>
      <c r="BA214" s="529"/>
      <c r="BB214" s="600"/>
      <c r="BC214" s="600"/>
      <c r="BD214" s="600"/>
      <c r="BE214" s="529"/>
      <c r="BF214" s="529"/>
      <c r="BG214" s="529"/>
      <c r="BH214" s="873"/>
      <c r="BI214" s="600"/>
      <c r="BJ214" s="201"/>
      <c r="BK214" s="201"/>
      <c r="BN214" s="7"/>
    </row>
    <row r="215" s="9" customFormat="1" ht="80.1" customHeight="1" spans="1:66">
      <c r="A215" s="23">
        <f>SUBTOTAL(3,C$9:C215)</f>
        <v>196</v>
      </c>
      <c r="B215" s="55" t="s">
        <v>1671</v>
      </c>
      <c r="C215" s="76" t="s">
        <v>562</v>
      </c>
      <c r="D215" s="55" t="s">
        <v>1672</v>
      </c>
      <c r="E215" s="693" t="s">
        <v>575</v>
      </c>
      <c r="F215" s="38">
        <v>13184</v>
      </c>
      <c r="G215" s="38">
        <v>414</v>
      </c>
      <c r="H215" s="134"/>
      <c r="I215" s="156">
        <v>500</v>
      </c>
      <c r="J215" s="67">
        <v>2000</v>
      </c>
      <c r="K215" s="67">
        <v>3500</v>
      </c>
      <c r="L215" s="36">
        <v>4000</v>
      </c>
      <c r="M215" s="134"/>
      <c r="N215" s="123" t="s">
        <v>1673</v>
      </c>
      <c r="O215" s="133"/>
      <c r="P215" s="134"/>
      <c r="Q215" s="134"/>
      <c r="R215" s="134"/>
      <c r="S215" s="134"/>
      <c r="T215" s="134"/>
      <c r="U215" s="134"/>
      <c r="V215" s="134"/>
      <c r="W215" s="134"/>
      <c r="X215" s="90"/>
      <c r="Y215" s="90"/>
      <c r="Z215" s="132"/>
      <c r="AA215" s="132"/>
      <c r="AB215" s="132"/>
      <c r="AC215" s="132"/>
      <c r="AD215" s="132"/>
      <c r="AE215" s="132"/>
      <c r="AF215" s="132"/>
      <c r="AG215" s="132"/>
      <c r="AH215" s="132"/>
      <c r="AI215" s="132">
        <v>40</v>
      </c>
      <c r="AJ215" s="132"/>
      <c r="AK215" s="132">
        <v>40</v>
      </c>
      <c r="AL215" s="595"/>
      <c r="AM215" s="595"/>
      <c r="AN215" s="595"/>
      <c r="AO215" s="595"/>
      <c r="AP215" s="595"/>
      <c r="AQ215" s="90"/>
      <c r="AR215" s="90" t="s">
        <v>1674</v>
      </c>
      <c r="AS215" s="34" t="s">
        <v>1040</v>
      </c>
      <c r="AT215" s="34" t="s">
        <v>498</v>
      </c>
      <c r="AU215" s="34"/>
      <c r="AV215" s="600"/>
      <c r="AW215" s="840"/>
      <c r="AX215" s="840"/>
      <c r="AY215" s="840"/>
      <c r="AZ215" s="840"/>
      <c r="BA215" s="529"/>
      <c r="BB215" s="600"/>
      <c r="BC215" s="600"/>
      <c r="BD215" s="600"/>
      <c r="BE215" s="529"/>
      <c r="BF215" s="529"/>
      <c r="BG215" s="529"/>
      <c r="BH215" s="873"/>
      <c r="BI215" s="600"/>
      <c r="BJ215" s="201"/>
      <c r="BK215" s="201"/>
      <c r="BN215" s="7"/>
    </row>
    <row r="216" s="9" customFormat="1" ht="80.1" customHeight="1" spans="1:66">
      <c r="A216" s="23">
        <f>SUBTOTAL(3,C$9:C216)</f>
        <v>197</v>
      </c>
      <c r="B216" s="626" t="s">
        <v>1675</v>
      </c>
      <c r="C216" s="50" t="s">
        <v>810</v>
      </c>
      <c r="D216" s="66" t="s">
        <v>1676</v>
      </c>
      <c r="E216" s="35" t="s">
        <v>832</v>
      </c>
      <c r="F216" s="36">
        <v>2196</v>
      </c>
      <c r="G216" s="35">
        <v>1500</v>
      </c>
      <c r="H216" s="81" t="s">
        <v>131</v>
      </c>
      <c r="I216" s="37">
        <v>170</v>
      </c>
      <c r="J216" s="37">
        <v>350</v>
      </c>
      <c r="K216" s="37">
        <v>550</v>
      </c>
      <c r="L216" s="36">
        <v>696</v>
      </c>
      <c r="M216" s="134"/>
      <c r="N216" s="123" t="s">
        <v>971</v>
      </c>
      <c r="O216" s="133"/>
      <c r="P216" s="134"/>
      <c r="Q216" s="134"/>
      <c r="R216" s="134"/>
      <c r="S216" s="134"/>
      <c r="T216" s="134"/>
      <c r="U216" s="134"/>
      <c r="V216" s="134"/>
      <c r="W216" s="134"/>
      <c r="X216" s="90"/>
      <c r="Y216" s="90"/>
      <c r="Z216" s="132">
        <v>9.69</v>
      </c>
      <c r="AA216" s="132">
        <v>9.69</v>
      </c>
      <c r="AB216" s="132"/>
      <c r="AC216" s="132"/>
      <c r="AD216" s="132"/>
      <c r="AE216" s="132"/>
      <c r="AF216" s="132"/>
      <c r="AG216" s="132"/>
      <c r="AH216" s="132"/>
      <c r="AI216" s="132"/>
      <c r="AJ216" s="132"/>
      <c r="AK216" s="132"/>
      <c r="AL216" s="595"/>
      <c r="AM216" s="595"/>
      <c r="AN216" s="595"/>
      <c r="AO216" s="595"/>
      <c r="AP216" s="595"/>
      <c r="AQ216" s="90"/>
      <c r="AR216" s="112" t="s">
        <v>117</v>
      </c>
      <c r="AS216" s="123" t="s">
        <v>1677</v>
      </c>
      <c r="AT216" s="34" t="s">
        <v>269</v>
      </c>
      <c r="AU216" s="91"/>
      <c r="AV216" s="600"/>
      <c r="AW216" s="840"/>
      <c r="AX216" s="840"/>
      <c r="AY216" s="840"/>
      <c r="AZ216" s="840"/>
      <c r="BA216" s="529"/>
      <c r="BB216" s="600"/>
      <c r="BC216" s="600"/>
      <c r="BD216" s="600"/>
      <c r="BE216" s="529"/>
      <c r="BF216" s="529"/>
      <c r="BG216" s="529"/>
      <c r="BH216" s="873"/>
      <c r="BI216" s="600"/>
      <c r="BJ216" s="201"/>
      <c r="BK216" s="201"/>
      <c r="BN216" s="7"/>
    </row>
    <row r="217" ht="80.1" customHeight="1" spans="1:47">
      <c r="A217" s="23">
        <f>SUBTOTAL(3,C$9:C217)</f>
        <v>198</v>
      </c>
      <c r="B217" s="55" t="s">
        <v>1678</v>
      </c>
      <c r="C217" s="35" t="s">
        <v>79</v>
      </c>
      <c r="D217" s="830" t="s">
        <v>1679</v>
      </c>
      <c r="E217" s="35" t="s">
        <v>112</v>
      </c>
      <c r="F217" s="35">
        <v>3200</v>
      </c>
      <c r="G217" s="134"/>
      <c r="H217" s="83" t="s">
        <v>353</v>
      </c>
      <c r="I217" s="578">
        <v>200</v>
      </c>
      <c r="J217" s="578">
        <v>500</v>
      </c>
      <c r="K217" s="578">
        <v>800</v>
      </c>
      <c r="L217" s="35">
        <v>1200</v>
      </c>
      <c r="M217" s="134"/>
      <c r="N217" s="34" t="s">
        <v>1680</v>
      </c>
      <c r="O217" s="133"/>
      <c r="P217" s="134"/>
      <c r="Q217" s="134"/>
      <c r="R217" s="134"/>
      <c r="S217" s="134"/>
      <c r="T217" s="134"/>
      <c r="U217" s="134"/>
      <c r="V217" s="134"/>
      <c r="W217" s="134"/>
      <c r="X217" s="90"/>
      <c r="Y217" s="90"/>
      <c r="Z217" s="132">
        <v>262.2</v>
      </c>
      <c r="AA217" s="132"/>
      <c r="AB217" s="132">
        <v>262.2</v>
      </c>
      <c r="AC217" s="132">
        <v>426</v>
      </c>
      <c r="AD217" s="132">
        <v>425.727</v>
      </c>
      <c r="AE217" s="132"/>
      <c r="AF217" s="132"/>
      <c r="AG217" s="132"/>
      <c r="AH217" s="132"/>
      <c r="AI217" s="132"/>
      <c r="AJ217" s="132"/>
      <c r="AK217" s="132"/>
      <c r="AL217" s="595"/>
      <c r="AM217" s="595"/>
      <c r="AN217" s="595"/>
      <c r="AO217" s="595"/>
      <c r="AP217" s="595"/>
      <c r="AQ217" s="90"/>
      <c r="AR217" s="34" t="s">
        <v>117</v>
      </c>
      <c r="AS217" s="882" t="s">
        <v>1681</v>
      </c>
      <c r="AT217" s="34" t="s">
        <v>317</v>
      </c>
      <c r="AU217" s="93"/>
    </row>
    <row r="218" ht="80.1" customHeight="1" spans="1:47">
      <c r="A218" s="23">
        <f>SUBTOTAL(3,C$9:C218)</f>
        <v>199</v>
      </c>
      <c r="B218" s="55" t="s">
        <v>1682</v>
      </c>
      <c r="C218" s="35" t="s">
        <v>810</v>
      </c>
      <c r="D218" s="565" t="s">
        <v>1683</v>
      </c>
      <c r="E218" s="35" t="s">
        <v>832</v>
      </c>
      <c r="F218" s="35">
        <v>11261</v>
      </c>
      <c r="G218" s="35">
        <v>8000</v>
      </c>
      <c r="H218" s="81" t="s">
        <v>82</v>
      </c>
      <c r="I218" s="37">
        <v>1000</v>
      </c>
      <c r="J218" s="37">
        <v>2200</v>
      </c>
      <c r="K218" s="37">
        <v>2900</v>
      </c>
      <c r="L218" s="35">
        <v>3261</v>
      </c>
      <c r="M218" s="134"/>
      <c r="N218" s="123" t="s">
        <v>971</v>
      </c>
      <c r="O218" s="133"/>
      <c r="P218" s="134"/>
      <c r="Q218" s="134"/>
      <c r="R218" s="134"/>
      <c r="S218" s="134"/>
      <c r="T218" s="134"/>
      <c r="U218" s="134"/>
      <c r="V218" s="134"/>
      <c r="W218" s="134"/>
      <c r="X218" s="90"/>
      <c r="Y218" s="90"/>
      <c r="Z218" s="132"/>
      <c r="AA218" s="132"/>
      <c r="AB218" s="132"/>
      <c r="AC218" s="132"/>
      <c r="AD218" s="132"/>
      <c r="AE218" s="132"/>
      <c r="AF218" s="132"/>
      <c r="AG218" s="132"/>
      <c r="AH218" s="132"/>
      <c r="AI218" s="132"/>
      <c r="AJ218" s="132"/>
      <c r="AK218" s="132"/>
      <c r="AL218" s="595"/>
      <c r="AM218" s="595"/>
      <c r="AN218" s="595"/>
      <c r="AO218" s="595"/>
      <c r="AP218" s="595"/>
      <c r="AQ218" s="90"/>
      <c r="AR218" s="34" t="s">
        <v>117</v>
      </c>
      <c r="AS218" s="34" t="s">
        <v>1684</v>
      </c>
      <c r="AT218" s="34" t="s">
        <v>317</v>
      </c>
      <c r="AU218" s="93"/>
    </row>
    <row r="219" ht="80.1" customHeight="1" spans="1:47">
      <c r="A219" s="23">
        <f>SUBTOTAL(3,C$9:C219)</f>
        <v>200</v>
      </c>
      <c r="B219" s="60" t="s">
        <v>1685</v>
      </c>
      <c r="C219" s="905" t="s">
        <v>562</v>
      </c>
      <c r="D219" s="88" t="s">
        <v>1686</v>
      </c>
      <c r="E219" s="81" t="s">
        <v>575</v>
      </c>
      <c r="F219" s="37">
        <v>380000</v>
      </c>
      <c r="G219" s="36">
        <v>15800</v>
      </c>
      <c r="H219" s="134"/>
      <c r="I219" s="36">
        <v>300</v>
      </c>
      <c r="J219" s="36">
        <v>700</v>
      </c>
      <c r="K219" s="36">
        <v>1200</v>
      </c>
      <c r="L219" s="36">
        <v>20000</v>
      </c>
      <c r="M219" s="134"/>
      <c r="N219" s="112" t="s">
        <v>1687</v>
      </c>
      <c r="O219" s="133"/>
      <c r="P219" s="134"/>
      <c r="Q219" s="134"/>
      <c r="R219" s="134"/>
      <c r="S219" s="134"/>
      <c r="T219" s="134"/>
      <c r="U219" s="134"/>
      <c r="V219" s="134"/>
      <c r="W219" s="134"/>
      <c r="X219" s="90"/>
      <c r="Y219" s="90"/>
      <c r="Z219" s="132">
        <v>421</v>
      </c>
      <c r="AA219" s="132">
        <v>100</v>
      </c>
      <c r="AB219" s="132">
        <v>321</v>
      </c>
      <c r="AC219" s="132"/>
      <c r="AD219" s="132"/>
      <c r="AE219" s="132"/>
      <c r="AF219" s="132"/>
      <c r="AG219" s="132"/>
      <c r="AH219" s="132"/>
      <c r="AI219" s="132"/>
      <c r="AJ219" s="132"/>
      <c r="AK219" s="132"/>
      <c r="AL219" s="595"/>
      <c r="AM219" s="595"/>
      <c r="AN219" s="595"/>
      <c r="AO219" s="595"/>
      <c r="AP219" s="595"/>
      <c r="AQ219" s="90"/>
      <c r="AR219" s="90" t="s">
        <v>1688</v>
      </c>
      <c r="AS219" s="123" t="s">
        <v>1689</v>
      </c>
      <c r="AT219" s="34" t="s">
        <v>375</v>
      </c>
      <c r="AU219" s="91"/>
    </row>
    <row r="220" ht="80.1" customHeight="1" spans="1:47">
      <c r="A220" s="23">
        <f>SUBTOTAL(3,C$9:C220)</f>
        <v>201</v>
      </c>
      <c r="B220" s="60" t="s">
        <v>1690</v>
      </c>
      <c r="C220" s="23" t="s">
        <v>562</v>
      </c>
      <c r="D220" s="60" t="s">
        <v>1691</v>
      </c>
      <c r="E220" s="23" t="s">
        <v>564</v>
      </c>
      <c r="F220" s="67">
        <v>57143</v>
      </c>
      <c r="G220" s="36">
        <v>9500</v>
      </c>
      <c r="H220" s="134"/>
      <c r="I220" s="36">
        <v>500</v>
      </c>
      <c r="J220" s="36">
        <v>1100</v>
      </c>
      <c r="K220" s="36">
        <v>1800</v>
      </c>
      <c r="L220" s="36">
        <v>3000</v>
      </c>
      <c r="M220" s="134"/>
      <c r="N220" s="112" t="s">
        <v>1692</v>
      </c>
      <c r="O220" s="133"/>
      <c r="P220" s="134"/>
      <c r="Q220" s="134"/>
      <c r="R220" s="134"/>
      <c r="S220" s="134"/>
      <c r="T220" s="134"/>
      <c r="U220" s="134"/>
      <c r="V220" s="134"/>
      <c r="W220" s="134"/>
      <c r="X220" s="90"/>
      <c r="Y220" s="90"/>
      <c r="Z220" s="132">
        <v>316</v>
      </c>
      <c r="AA220" s="132">
        <v>316</v>
      </c>
      <c r="AB220" s="132"/>
      <c r="AC220" s="132"/>
      <c r="AD220" s="132"/>
      <c r="AE220" s="132"/>
      <c r="AF220" s="132"/>
      <c r="AG220" s="132"/>
      <c r="AH220" s="132"/>
      <c r="AI220" s="132"/>
      <c r="AJ220" s="132"/>
      <c r="AK220" s="132"/>
      <c r="AL220" s="595"/>
      <c r="AM220" s="595"/>
      <c r="AN220" s="595"/>
      <c r="AO220" s="595"/>
      <c r="AP220" s="595"/>
      <c r="AQ220" s="90"/>
      <c r="AR220" s="90" t="s">
        <v>806</v>
      </c>
      <c r="AS220" s="123" t="s">
        <v>807</v>
      </c>
      <c r="AT220" s="34" t="s">
        <v>375</v>
      </c>
      <c r="AU220" s="91"/>
    </row>
    <row r="221" ht="13.5" spans="3:42">
      <c r="C221" s="179"/>
      <c r="E221" s="179"/>
      <c r="F221" s="179"/>
      <c r="G221" s="179"/>
      <c r="H221" s="179"/>
      <c r="I221" s="179"/>
      <c r="J221" s="179"/>
      <c r="K221" s="179"/>
      <c r="L221" s="179"/>
      <c r="M221" s="179"/>
      <c r="N221" s="179"/>
      <c r="O221" s="179"/>
      <c r="P221" s="179"/>
      <c r="Q221" s="179"/>
      <c r="R221" s="179"/>
      <c r="S221" s="179"/>
      <c r="T221" s="179"/>
      <c r="U221" s="179"/>
      <c r="V221" s="179"/>
      <c r="W221" s="179"/>
      <c r="X221" s="179"/>
      <c r="Y221" s="179"/>
      <c r="Z221" s="179"/>
      <c r="AA221" s="179"/>
      <c r="AB221" s="179"/>
      <c r="AC221" s="179"/>
      <c r="AD221" s="179"/>
      <c r="AE221" s="179"/>
      <c r="AF221" s="179"/>
      <c r="AG221" s="179"/>
      <c r="AH221" s="179"/>
      <c r="AI221" s="179"/>
      <c r="AJ221" s="179"/>
      <c r="AK221" s="179"/>
      <c r="AL221" s="179"/>
      <c r="AM221" s="179"/>
      <c r="AN221" s="179"/>
      <c r="AO221" s="179"/>
      <c r="AP221" s="179"/>
    </row>
  </sheetData>
  <autoFilter ref="A6:BN219">
    <filterColumn colId="0">
      <customFilters and="1">
        <customFilter operator="notEqual" val=""/>
        <customFilter operator="equal" val=""/>
      </customFilters>
    </filterColumn>
    <extLst/>
  </autoFilter>
  <mergeCells count="56">
    <mergeCell ref="A1:B1"/>
    <mergeCell ref="A2:AU2"/>
    <mergeCell ref="A3:B3"/>
    <mergeCell ref="AS3:AT3"/>
    <mergeCell ref="H4:N4"/>
    <mergeCell ref="O4:P4"/>
    <mergeCell ref="Q4:W4"/>
    <mergeCell ref="Z4:AB4"/>
    <mergeCell ref="AC4:AE4"/>
    <mergeCell ref="AF4:AH4"/>
    <mergeCell ref="AI4:AK4"/>
    <mergeCell ref="AL4:AP4"/>
    <mergeCell ref="BE4:BG4"/>
    <mergeCell ref="A7:D7"/>
    <mergeCell ref="B8:D8"/>
    <mergeCell ref="B41:D41"/>
    <mergeCell ref="B42:D42"/>
    <mergeCell ref="B43:D43"/>
    <mergeCell ref="B52:D52"/>
    <mergeCell ref="B56:D56"/>
    <mergeCell ref="B76:E76"/>
    <mergeCell ref="B126:D126"/>
    <mergeCell ref="B184:D184"/>
    <mergeCell ref="B185:D185"/>
    <mergeCell ref="B187:D187"/>
    <mergeCell ref="B208:D208"/>
    <mergeCell ref="A4:A5"/>
    <mergeCell ref="B4:B5"/>
    <mergeCell ref="C4:C5"/>
    <mergeCell ref="D4:D5"/>
    <mergeCell ref="E4:E5"/>
    <mergeCell ref="F4:F5"/>
    <mergeCell ref="G4:G5"/>
    <mergeCell ref="X4:X5"/>
    <mergeCell ref="Y4:Y5"/>
    <mergeCell ref="AQ4:AQ5"/>
    <mergeCell ref="AR4:AR5"/>
    <mergeCell ref="AS4:AS5"/>
    <mergeCell ref="AT4:AT5"/>
    <mergeCell ref="AU4:AU5"/>
    <mergeCell ref="AV4:AV5"/>
    <mergeCell ref="AW4:AW5"/>
    <mergeCell ref="AX4:AX5"/>
    <mergeCell ref="AY4:AY5"/>
    <mergeCell ref="AZ4:AZ5"/>
    <mergeCell ref="BA4:BA5"/>
    <mergeCell ref="BB4:BB5"/>
    <mergeCell ref="BC4:BC5"/>
    <mergeCell ref="BD4:BD5"/>
    <mergeCell ref="BH4:BH5"/>
    <mergeCell ref="BI4:BI5"/>
    <mergeCell ref="BJ4:BJ5"/>
    <mergeCell ref="BK4:BK5"/>
    <mergeCell ref="BL4:BL5"/>
    <mergeCell ref="BM4:BM5"/>
    <mergeCell ref="BN4:BN5"/>
  </mergeCells>
  <printOptions horizontalCentered="1"/>
  <pageMargins left="0.668055555555556" right="0.472222222222222" top="0.747916666666667" bottom="0.747916666666667" header="0.314583333333333" footer="0.472222222222222"/>
  <pageSetup paperSize="9" scale="65" firstPageNumber="4294963191" fitToHeight="0" orientation="landscape" useFirstPageNumber="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Q59"/>
  <sheetViews>
    <sheetView showZeros="0" zoomScale="70" zoomScaleNormal="70" workbookViewId="0">
      <selection activeCell="AT1" sqref="AT$1:AT$1048576"/>
    </sheetView>
  </sheetViews>
  <sheetFormatPr defaultColWidth="9" defaultRowHeight="12"/>
  <cols>
    <col min="1" max="1" width="8.71428571428571" style="4" customWidth="1"/>
    <col min="2" max="2" width="20.7142857142857" style="4" customWidth="1"/>
    <col min="3" max="3" width="6.71428571428571" style="4" customWidth="1"/>
    <col min="4" max="4" width="30.7142857142857" style="4" customWidth="1"/>
    <col min="5" max="5" width="8.71428571428571" style="4" customWidth="1"/>
    <col min="6" max="7" width="12.7142857142857" style="4" customWidth="1"/>
    <col min="8" max="12" width="10.7142857142857" style="4" customWidth="1"/>
    <col min="13" max="13" width="9.14285714285714" style="4" hidden="1" customWidth="1"/>
    <col min="14" max="14" width="22.7142857142857" style="4" customWidth="1"/>
    <col min="15" max="25" width="9.14285714285714" style="4" hidden="1" customWidth="1"/>
    <col min="26" max="26" width="8.85714285714286" style="4" hidden="1" customWidth="1"/>
    <col min="27" max="27" width="8.42857142857143" style="4" hidden="1" customWidth="1"/>
    <col min="28" max="28" width="7.42857142857143" style="4" hidden="1" customWidth="1"/>
    <col min="29" max="29" width="6.28571428571429" style="4" hidden="1" customWidth="1"/>
    <col min="30" max="30" width="7.14285714285714" style="4" hidden="1" customWidth="1"/>
    <col min="31" max="31" width="5.85714285714286" style="4" hidden="1" customWidth="1"/>
    <col min="32" max="32" width="6.71428571428571" style="4" hidden="1" customWidth="1"/>
    <col min="33" max="33" width="5.85714285714286" style="4" hidden="1" customWidth="1"/>
    <col min="34" max="34" width="6.14285714285714" style="4" hidden="1" customWidth="1"/>
    <col min="35" max="35" width="7.71428571428571" style="4" hidden="1" customWidth="1"/>
    <col min="36" max="36" width="6.14285714285714" style="4" hidden="1" customWidth="1"/>
    <col min="37" max="37" width="6" style="4" hidden="1" customWidth="1"/>
    <col min="38" max="38" width="9.57142857142857" style="4" hidden="1" customWidth="1"/>
    <col min="39" max="39" width="7.14285714285714" style="4" hidden="1" customWidth="1"/>
    <col min="40" max="40" width="7.71428571428571" style="4" hidden="1" customWidth="1"/>
    <col min="41" max="41" width="8.57142857142857" style="4" hidden="1" customWidth="1"/>
    <col min="42" max="42" width="9" style="4" hidden="1" customWidth="1"/>
    <col min="43" max="44" width="9.14285714285714" style="4" hidden="1" customWidth="1"/>
    <col min="45" max="46" width="16.7142857142857" style="4" customWidth="1"/>
    <col min="47" max="66" width="9.14285714285714" style="4" hidden="1" customWidth="1"/>
    <col min="67" max="16384" width="9.14285714285714" style="4"/>
  </cols>
  <sheetData>
    <row r="1" ht="25.15" customHeight="1" spans="1:69">
      <c r="A1" s="826" t="s">
        <v>1693</v>
      </c>
      <c r="B1" s="826"/>
      <c r="C1" s="827"/>
      <c r="D1" s="827"/>
      <c r="E1" s="827"/>
      <c r="F1" s="827"/>
      <c r="G1" s="827"/>
      <c r="H1" s="827"/>
      <c r="I1" s="827"/>
      <c r="J1" s="827"/>
      <c r="K1" s="827"/>
      <c r="L1" s="827"/>
      <c r="M1" s="827"/>
      <c r="N1" s="827"/>
      <c r="O1" s="827"/>
      <c r="P1" s="827"/>
      <c r="Q1" s="827"/>
      <c r="R1" s="827"/>
      <c r="S1" s="827"/>
      <c r="T1" s="827"/>
      <c r="U1" s="827"/>
      <c r="V1" s="827"/>
      <c r="W1" s="827"/>
      <c r="X1" s="827"/>
      <c r="Y1" s="542"/>
      <c r="Z1" s="568"/>
      <c r="AA1" s="568"/>
      <c r="AB1" s="568"/>
      <c r="AC1" s="568"/>
      <c r="AD1" s="568"/>
      <c r="AE1" s="568"/>
      <c r="AF1" s="568"/>
      <c r="AG1" s="568"/>
      <c r="AH1" s="568"/>
      <c r="AI1" s="568"/>
      <c r="AJ1" s="568"/>
      <c r="AK1" s="568"/>
      <c r="AL1" s="568"/>
      <c r="AM1" s="568"/>
      <c r="AN1" s="568"/>
      <c r="AO1" s="568"/>
      <c r="AP1" s="568"/>
      <c r="AQ1" s="542"/>
      <c r="AR1" s="568"/>
      <c r="AS1" s="583"/>
      <c r="AT1" s="539"/>
      <c r="AU1" s="749"/>
      <c r="AV1" s="201"/>
      <c r="AW1" s="6"/>
      <c r="AX1" s="6"/>
      <c r="AY1" s="6"/>
      <c r="AZ1" s="6"/>
      <c r="BA1" s="203"/>
      <c r="BB1" s="201"/>
      <c r="BC1" s="201"/>
      <c r="BD1" s="201"/>
      <c r="BE1" s="201"/>
      <c r="BF1" s="201"/>
      <c r="BG1" s="201"/>
      <c r="BH1" s="7"/>
      <c r="BI1" s="201"/>
      <c r="BJ1" s="201"/>
      <c r="BK1" s="201"/>
      <c r="BL1" s="599"/>
      <c r="BM1" s="599"/>
      <c r="BN1" s="599"/>
      <c r="BO1" s="750"/>
      <c r="BP1" s="206"/>
      <c r="BQ1" s="206"/>
    </row>
    <row r="2" ht="55.9" customHeight="1" spans="1:69">
      <c r="A2" s="828" t="s">
        <v>1694</v>
      </c>
      <c r="B2" s="828"/>
      <c r="C2" s="828"/>
      <c r="D2" s="828"/>
      <c r="E2" s="828"/>
      <c r="F2" s="828"/>
      <c r="G2" s="828"/>
      <c r="H2" s="828"/>
      <c r="I2" s="828"/>
      <c r="J2" s="828"/>
      <c r="K2" s="828"/>
      <c r="L2" s="828"/>
      <c r="M2" s="828"/>
      <c r="N2" s="828"/>
      <c r="O2" s="828"/>
      <c r="P2" s="828"/>
      <c r="Q2" s="828"/>
      <c r="R2" s="828"/>
      <c r="S2" s="828"/>
      <c r="T2" s="828"/>
      <c r="U2" s="828"/>
      <c r="V2" s="828"/>
      <c r="W2" s="828"/>
      <c r="X2" s="828"/>
      <c r="Y2" s="828"/>
      <c r="Z2" s="828"/>
      <c r="AA2" s="828"/>
      <c r="AB2" s="828"/>
      <c r="AC2" s="828"/>
      <c r="AD2" s="828"/>
      <c r="AE2" s="828"/>
      <c r="AF2" s="828"/>
      <c r="AG2" s="828"/>
      <c r="AH2" s="828"/>
      <c r="AI2" s="828"/>
      <c r="AJ2" s="828"/>
      <c r="AK2" s="828"/>
      <c r="AL2" s="828"/>
      <c r="AM2" s="828"/>
      <c r="AN2" s="828"/>
      <c r="AO2" s="828"/>
      <c r="AP2" s="828"/>
      <c r="AQ2" s="828"/>
      <c r="AR2" s="828"/>
      <c r="AS2" s="828"/>
      <c r="AT2" s="828"/>
      <c r="AU2" s="828"/>
      <c r="AV2" s="571"/>
      <c r="AW2" s="597"/>
      <c r="AX2" s="598"/>
      <c r="AY2" s="598"/>
      <c r="AZ2" s="598"/>
      <c r="BA2" s="605"/>
      <c r="BB2" s="599"/>
      <c r="BC2" s="201"/>
      <c r="BD2" s="599"/>
      <c r="BE2" s="599"/>
      <c r="BF2" s="599"/>
      <c r="BG2" s="599"/>
      <c r="BI2" s="201"/>
      <c r="BJ2" s="201"/>
      <c r="BK2" s="201"/>
      <c r="BL2" s="599"/>
      <c r="BM2" s="599"/>
      <c r="BN2" s="599"/>
      <c r="BO2" s="750"/>
      <c r="BP2" s="206"/>
      <c r="BQ2" s="206"/>
    </row>
    <row r="3" s="9" customFormat="1" ht="20.65" customHeight="1" spans="1:69">
      <c r="A3" s="545"/>
      <c r="B3" s="546"/>
      <c r="C3" s="547"/>
      <c r="D3" s="662"/>
      <c r="E3" s="547"/>
      <c r="F3" s="549"/>
      <c r="G3" s="549"/>
      <c r="H3" s="550"/>
      <c r="I3" s="550"/>
      <c r="J3" s="550"/>
      <c r="K3" s="550"/>
      <c r="L3" s="550"/>
      <c r="M3" s="550"/>
      <c r="N3" s="677"/>
      <c r="O3" s="572" t="s">
        <v>2</v>
      </c>
      <c r="P3" s="550" t="s">
        <v>2</v>
      </c>
      <c r="Q3" s="550"/>
      <c r="R3" s="550"/>
      <c r="S3" s="550"/>
      <c r="T3" s="550"/>
      <c r="U3" s="550"/>
      <c r="V3" s="550"/>
      <c r="W3" s="550"/>
      <c r="X3" s="673"/>
      <c r="Y3" s="673"/>
      <c r="Z3" s="677"/>
      <c r="AA3" s="677"/>
      <c r="AB3" s="677"/>
      <c r="AC3" s="677"/>
      <c r="AD3" s="677"/>
      <c r="AE3" s="677"/>
      <c r="AF3" s="677"/>
      <c r="AG3" s="677"/>
      <c r="AH3" s="677"/>
      <c r="AI3" s="677"/>
      <c r="AJ3" s="677"/>
      <c r="AK3" s="677"/>
      <c r="AL3" s="677"/>
      <c r="AM3" s="677"/>
      <c r="AN3" s="677"/>
      <c r="AO3" s="677"/>
      <c r="AP3" s="677"/>
      <c r="AQ3" s="550" t="s">
        <v>2</v>
      </c>
      <c r="AR3" s="677"/>
      <c r="AS3" s="587" t="s">
        <v>3</v>
      </c>
      <c r="AT3" s="588"/>
      <c r="AU3" s="772"/>
      <c r="AV3" s="10"/>
      <c r="AW3" s="10" t="s">
        <v>4</v>
      </c>
      <c r="AX3" s="10" t="s">
        <v>4</v>
      </c>
      <c r="AY3" s="10" t="s">
        <v>4</v>
      </c>
      <c r="AZ3" s="10"/>
      <c r="BA3" s="10" t="s">
        <v>4</v>
      </c>
      <c r="BB3" s="10" t="s">
        <v>4</v>
      </c>
      <c r="BC3" s="10" t="s">
        <v>4</v>
      </c>
      <c r="BD3" s="10" t="s">
        <v>4</v>
      </c>
      <c r="BE3" s="10" t="s">
        <v>4</v>
      </c>
      <c r="BF3" s="10" t="s">
        <v>4</v>
      </c>
      <c r="BG3" s="10" t="s">
        <v>4</v>
      </c>
      <c r="BH3" s="10" t="s">
        <v>4</v>
      </c>
      <c r="BI3" s="10"/>
      <c r="BJ3" s="10"/>
      <c r="BK3" s="10"/>
      <c r="BL3" s="600"/>
      <c r="BM3" s="600"/>
      <c r="BN3" s="201"/>
      <c r="BO3" s="782"/>
      <c r="BP3" s="622"/>
      <c r="BQ3" s="622"/>
    </row>
    <row r="4" s="529" customFormat="1" ht="27.95" customHeight="1" spans="1:69">
      <c r="A4" s="551" t="s">
        <v>1695</v>
      </c>
      <c r="B4" s="551" t="s">
        <v>1696</v>
      </c>
      <c r="C4" s="551" t="s">
        <v>1697</v>
      </c>
      <c r="D4" s="551" t="s">
        <v>1698</v>
      </c>
      <c r="E4" s="552" t="s">
        <v>1699</v>
      </c>
      <c r="F4" s="134" t="s">
        <v>1700</v>
      </c>
      <c r="G4" s="265" t="s">
        <v>1701</v>
      </c>
      <c r="H4" s="265" t="s">
        <v>1702</v>
      </c>
      <c r="I4" s="265"/>
      <c r="J4" s="265"/>
      <c r="K4" s="265"/>
      <c r="L4" s="265"/>
      <c r="M4" s="265"/>
      <c r="N4" s="265"/>
      <c r="O4" s="265" t="s">
        <v>13</v>
      </c>
      <c r="P4" s="265"/>
      <c r="Q4" s="99" t="s">
        <v>14</v>
      </c>
      <c r="R4" s="99"/>
      <c r="S4" s="99"/>
      <c r="T4" s="99"/>
      <c r="U4" s="99"/>
      <c r="V4" s="99"/>
      <c r="W4" s="99"/>
      <c r="X4" s="99" t="s">
        <v>15</v>
      </c>
      <c r="Y4" s="99" t="s">
        <v>16</v>
      </c>
      <c r="Z4" s="330" t="s">
        <v>17</v>
      </c>
      <c r="AA4" s="330"/>
      <c r="AB4" s="330"/>
      <c r="AC4" s="330" t="s">
        <v>18</v>
      </c>
      <c r="AD4" s="330"/>
      <c r="AE4" s="330"/>
      <c r="AF4" s="330" t="s">
        <v>19</v>
      </c>
      <c r="AG4" s="330"/>
      <c r="AH4" s="330"/>
      <c r="AI4" s="330" t="s">
        <v>20</v>
      </c>
      <c r="AJ4" s="330"/>
      <c r="AK4" s="330"/>
      <c r="AL4" s="330" t="s">
        <v>21</v>
      </c>
      <c r="AM4" s="330"/>
      <c r="AN4" s="330"/>
      <c r="AO4" s="330"/>
      <c r="AP4" s="330"/>
      <c r="AQ4" s="99" t="s">
        <v>22</v>
      </c>
      <c r="AR4" s="99" t="s">
        <v>23</v>
      </c>
      <c r="AS4" s="145" t="s">
        <v>1703</v>
      </c>
      <c r="AT4" s="145" t="s">
        <v>1704</v>
      </c>
      <c r="AU4" s="145" t="s">
        <v>26</v>
      </c>
      <c r="AV4" s="601" t="s">
        <v>27</v>
      </c>
      <c r="AW4" s="601" t="s">
        <v>28</v>
      </c>
      <c r="AX4" s="601" t="s">
        <v>29</v>
      </c>
      <c r="AY4" s="601" t="s">
        <v>30</v>
      </c>
      <c r="AZ4" s="601" t="s">
        <v>31</v>
      </c>
      <c r="BA4" s="607" t="s">
        <v>32</v>
      </c>
      <c r="BB4" s="165" t="s">
        <v>33</v>
      </c>
      <c r="BC4" s="157" t="s">
        <v>34</v>
      </c>
      <c r="BD4" s="608" t="s">
        <v>35</v>
      </c>
      <c r="BE4" s="609" t="s">
        <v>35</v>
      </c>
      <c r="BF4" s="610"/>
      <c r="BG4" s="617"/>
      <c r="BH4" s="202" t="s">
        <v>36</v>
      </c>
      <c r="BI4" s="157" t="s">
        <v>37</v>
      </c>
      <c r="BJ4" s="157" t="s">
        <v>38</v>
      </c>
      <c r="BK4" s="157" t="s">
        <v>39</v>
      </c>
      <c r="BL4" s="624" t="s">
        <v>40</v>
      </c>
      <c r="BM4" s="600" t="s">
        <v>41</v>
      </c>
      <c r="BN4" s="781" t="s">
        <v>42</v>
      </c>
      <c r="BO4" s="784"/>
      <c r="BP4" s="600"/>
      <c r="BQ4" s="600"/>
    </row>
    <row r="5" s="529" customFormat="1" ht="48" customHeight="1" spans="1:69">
      <c r="A5" s="551"/>
      <c r="B5" s="551"/>
      <c r="C5" s="551"/>
      <c r="D5" s="551"/>
      <c r="E5" s="552"/>
      <c r="F5" s="134"/>
      <c r="G5" s="265"/>
      <c r="H5" s="265" t="s">
        <v>1705</v>
      </c>
      <c r="I5" s="265" t="s">
        <v>1706</v>
      </c>
      <c r="J5" s="265" t="s">
        <v>1707</v>
      </c>
      <c r="K5" s="265" t="s">
        <v>1708</v>
      </c>
      <c r="L5" s="265" t="s">
        <v>1709</v>
      </c>
      <c r="M5" s="265" t="s">
        <v>944</v>
      </c>
      <c r="N5" s="265" t="s">
        <v>1710</v>
      </c>
      <c r="O5" s="576" t="s">
        <v>50</v>
      </c>
      <c r="P5" s="265" t="s">
        <v>51</v>
      </c>
      <c r="Q5" s="766" t="s">
        <v>52</v>
      </c>
      <c r="R5" s="766" t="s">
        <v>53</v>
      </c>
      <c r="S5" s="766" t="s">
        <v>54</v>
      </c>
      <c r="T5" s="766" t="s">
        <v>55</v>
      </c>
      <c r="U5" s="766" t="s">
        <v>56</v>
      </c>
      <c r="V5" s="766" t="s">
        <v>57</v>
      </c>
      <c r="W5" s="831" t="s">
        <v>58</v>
      </c>
      <c r="X5" s="99"/>
      <c r="Y5" s="99"/>
      <c r="Z5" s="831" t="s">
        <v>59</v>
      </c>
      <c r="AA5" s="831" t="s">
        <v>60</v>
      </c>
      <c r="AB5" s="831" t="s">
        <v>61</v>
      </c>
      <c r="AC5" s="831" t="s">
        <v>62</v>
      </c>
      <c r="AD5" s="831" t="s">
        <v>63</v>
      </c>
      <c r="AE5" s="831" t="s">
        <v>61</v>
      </c>
      <c r="AF5" s="831" t="s">
        <v>64</v>
      </c>
      <c r="AG5" s="831" t="s">
        <v>65</v>
      </c>
      <c r="AH5" s="831" t="s">
        <v>61</v>
      </c>
      <c r="AI5" s="831" t="s">
        <v>66</v>
      </c>
      <c r="AJ5" s="831" t="s">
        <v>67</v>
      </c>
      <c r="AK5" s="831" t="s">
        <v>68</v>
      </c>
      <c r="AL5" s="831" t="s">
        <v>69</v>
      </c>
      <c r="AM5" s="831" t="s">
        <v>70</v>
      </c>
      <c r="AN5" s="831" t="s">
        <v>71</v>
      </c>
      <c r="AO5" s="831" t="s">
        <v>72</v>
      </c>
      <c r="AP5" s="831" t="s">
        <v>73</v>
      </c>
      <c r="AQ5" s="99"/>
      <c r="AR5" s="99"/>
      <c r="AS5" s="145"/>
      <c r="AT5" s="145"/>
      <c r="AU5" s="145"/>
      <c r="AV5" s="601"/>
      <c r="AW5" s="601"/>
      <c r="AX5" s="601"/>
      <c r="AY5" s="601"/>
      <c r="AZ5" s="601"/>
      <c r="BA5" s="607"/>
      <c r="BB5" s="165"/>
      <c r="BC5" s="157"/>
      <c r="BD5" s="611"/>
      <c r="BE5" s="157" t="s">
        <v>74</v>
      </c>
      <c r="BF5" s="157" t="s">
        <v>75</v>
      </c>
      <c r="BG5" s="157"/>
      <c r="BH5" s="202"/>
      <c r="BI5" s="611"/>
      <c r="BJ5" s="157"/>
      <c r="BK5" s="157"/>
      <c r="BL5" s="624"/>
      <c r="BM5" s="600"/>
      <c r="BN5" s="781"/>
      <c r="BO5" s="784"/>
      <c r="BP5" s="600"/>
      <c r="BQ5" s="600"/>
    </row>
    <row r="6" s="529" customFormat="1" ht="21.75" hidden="1" customHeight="1" spans="1:69">
      <c r="A6" s="551"/>
      <c r="B6" s="554"/>
      <c r="C6" s="551"/>
      <c r="D6" s="554"/>
      <c r="E6" s="552"/>
      <c r="F6" s="134"/>
      <c r="G6" s="134"/>
      <c r="H6" s="265"/>
      <c r="I6" s="265"/>
      <c r="J6" s="265"/>
      <c r="K6" s="265"/>
      <c r="L6" s="265"/>
      <c r="M6" s="265"/>
      <c r="N6" s="664"/>
      <c r="O6" s="576"/>
      <c r="P6" s="265"/>
      <c r="Q6" s="265"/>
      <c r="R6" s="265"/>
      <c r="S6" s="265"/>
      <c r="T6" s="265"/>
      <c r="U6" s="265"/>
      <c r="V6" s="265"/>
      <c r="W6" s="265"/>
      <c r="X6" s="585"/>
      <c r="Y6" s="585"/>
      <c r="Z6" s="577"/>
      <c r="AA6" s="577"/>
      <c r="AB6" s="577"/>
      <c r="AC6" s="577"/>
      <c r="AD6" s="577"/>
      <c r="AE6" s="577"/>
      <c r="AF6" s="577"/>
      <c r="AG6" s="577"/>
      <c r="AH6" s="577"/>
      <c r="AI6" s="577"/>
      <c r="AJ6" s="577"/>
      <c r="AK6" s="577"/>
      <c r="AL6" s="577"/>
      <c r="AM6" s="577"/>
      <c r="AN6" s="577"/>
      <c r="AO6" s="577"/>
      <c r="AP6" s="577"/>
      <c r="AQ6" s="585"/>
      <c r="AR6" s="577"/>
      <c r="AS6" s="773"/>
      <c r="AT6" s="145"/>
      <c r="AU6" s="773"/>
      <c r="AV6" s="604"/>
      <c r="AW6" s="601"/>
      <c r="AX6" s="601"/>
      <c r="AY6" s="601"/>
      <c r="AZ6" s="601"/>
      <c r="BA6" s="607"/>
      <c r="BB6" s="165"/>
      <c r="BC6" s="157"/>
      <c r="BD6" s="157"/>
      <c r="BE6" s="157"/>
      <c r="BF6" s="157"/>
      <c r="BG6" s="157"/>
      <c r="BH6" s="604"/>
      <c r="BI6" s="157"/>
      <c r="BJ6" s="157"/>
      <c r="BK6" s="157"/>
      <c r="BL6" s="600"/>
      <c r="BM6" s="600"/>
      <c r="BN6" s="201"/>
      <c r="BO6" s="784"/>
      <c r="BP6" s="600"/>
      <c r="BQ6" s="600"/>
    </row>
    <row r="7" s="9" customFormat="1" ht="30" customHeight="1" spans="1:66">
      <c r="A7" s="753" t="str">
        <f>"合计（"&amp;SUBTOTAL(3,C9:C58)&amp;"个）"</f>
        <v>合计（40个）</v>
      </c>
      <c r="B7" s="753"/>
      <c r="C7" s="753"/>
      <c r="D7" s="753"/>
      <c r="E7" s="754"/>
      <c r="F7" s="134">
        <f t="shared" ref="F7:M7" si="0">F8+F18+F46</f>
        <v>592780.17</v>
      </c>
      <c r="G7" s="134">
        <f t="shared" si="0"/>
        <v>138171</v>
      </c>
      <c r="H7" s="134"/>
      <c r="I7" s="134">
        <f t="shared" si="0"/>
        <v>27100</v>
      </c>
      <c r="J7" s="134">
        <f t="shared" si="0"/>
        <v>64520</v>
      </c>
      <c r="K7" s="134">
        <f t="shared" si="0"/>
        <v>111590</v>
      </c>
      <c r="L7" s="134">
        <f t="shared" si="0"/>
        <v>163780</v>
      </c>
      <c r="M7" s="134">
        <f t="shared" si="0"/>
        <v>0</v>
      </c>
      <c r="N7" s="134"/>
      <c r="O7" s="134">
        <f t="shared" ref="O7:AP7" si="1">O8+O18+O46</f>
        <v>0</v>
      </c>
      <c r="P7" s="134">
        <f t="shared" si="1"/>
        <v>0</v>
      </c>
      <c r="Q7" s="134">
        <f t="shared" si="1"/>
        <v>0</v>
      </c>
      <c r="R7" s="134">
        <f t="shared" si="1"/>
        <v>0</v>
      </c>
      <c r="S7" s="134">
        <f t="shared" si="1"/>
        <v>0</v>
      </c>
      <c r="T7" s="134">
        <f t="shared" si="1"/>
        <v>0</v>
      </c>
      <c r="U7" s="134">
        <f t="shared" si="1"/>
        <v>0</v>
      </c>
      <c r="V7" s="134">
        <f t="shared" si="1"/>
        <v>0</v>
      </c>
      <c r="W7" s="134">
        <f t="shared" si="1"/>
        <v>0</v>
      </c>
      <c r="X7" s="134">
        <f t="shared" si="1"/>
        <v>0</v>
      </c>
      <c r="Y7" s="134">
        <f t="shared" si="1"/>
        <v>0</v>
      </c>
      <c r="Z7" s="134">
        <f t="shared" si="1"/>
        <v>11327.547</v>
      </c>
      <c r="AA7" s="134">
        <f t="shared" si="1"/>
        <v>10117.027</v>
      </c>
      <c r="AB7" s="134">
        <f t="shared" si="1"/>
        <v>1178.5</v>
      </c>
      <c r="AC7" s="134">
        <f t="shared" si="1"/>
        <v>405</v>
      </c>
      <c r="AD7" s="134">
        <f t="shared" si="1"/>
        <v>280</v>
      </c>
      <c r="AE7" s="134">
        <f t="shared" si="1"/>
        <v>76</v>
      </c>
      <c r="AF7" s="134">
        <f t="shared" si="1"/>
        <v>0</v>
      </c>
      <c r="AG7" s="134">
        <f t="shared" si="1"/>
        <v>0</v>
      </c>
      <c r="AH7" s="134">
        <f t="shared" si="1"/>
        <v>0</v>
      </c>
      <c r="AI7" s="134">
        <f t="shared" si="1"/>
        <v>1723.31</v>
      </c>
      <c r="AJ7" s="134">
        <f t="shared" si="1"/>
        <v>1052.05</v>
      </c>
      <c r="AK7" s="134">
        <f t="shared" si="1"/>
        <v>671.26</v>
      </c>
      <c r="AL7" s="134">
        <f t="shared" si="1"/>
        <v>18864</v>
      </c>
      <c r="AM7" s="134">
        <f t="shared" si="1"/>
        <v>15417</v>
      </c>
      <c r="AN7" s="134">
        <f t="shared" si="1"/>
        <v>7962</v>
      </c>
      <c r="AO7" s="134">
        <f t="shared" si="1"/>
        <v>16200</v>
      </c>
      <c r="AP7" s="134">
        <f t="shared" si="1"/>
        <v>18373</v>
      </c>
      <c r="AQ7" s="585"/>
      <c r="AR7" s="577"/>
      <c r="AS7" s="835"/>
      <c r="AT7" s="775"/>
      <c r="AU7" s="171"/>
      <c r="AV7" s="165"/>
      <c r="AW7" s="161"/>
      <c r="AX7" s="161"/>
      <c r="AY7" s="161"/>
      <c r="AZ7" s="161"/>
      <c r="BA7" s="169"/>
      <c r="BB7" s="165"/>
      <c r="BC7" s="165"/>
      <c r="BD7" s="165"/>
      <c r="BE7" s="169"/>
      <c r="BF7" s="169"/>
      <c r="BG7" s="169"/>
      <c r="BI7" s="165"/>
      <c r="BJ7" s="157"/>
      <c r="BK7" s="157"/>
      <c r="BN7" s="7"/>
    </row>
    <row r="8" s="9" customFormat="1" ht="30" customHeight="1" spans="1:66">
      <c r="A8" s="551" t="s">
        <v>76</v>
      </c>
      <c r="B8" s="557" t="str">
        <f>"中央和自治区投资项目（"&amp;SUBTOTAL(3,C9:C17)&amp;"个）"</f>
        <v>中央和自治区投资项目（9个）</v>
      </c>
      <c r="C8" s="557"/>
      <c r="D8" s="557"/>
      <c r="E8" s="551"/>
      <c r="F8" s="134">
        <f t="shared" ref="F8:M8" si="2">SUBTOTAL(9,F9:F17)</f>
        <v>102998</v>
      </c>
      <c r="G8" s="134">
        <f t="shared" si="2"/>
        <v>19285</v>
      </c>
      <c r="H8" s="134"/>
      <c r="I8" s="134">
        <f t="shared" si="2"/>
        <v>6000</v>
      </c>
      <c r="J8" s="134">
        <f t="shared" si="2"/>
        <v>12600</v>
      </c>
      <c r="K8" s="134">
        <f t="shared" si="2"/>
        <v>20100</v>
      </c>
      <c r="L8" s="134">
        <f t="shared" si="2"/>
        <v>34299</v>
      </c>
      <c r="M8" s="134">
        <f t="shared" si="2"/>
        <v>0</v>
      </c>
      <c r="N8" s="591"/>
      <c r="O8" s="134"/>
      <c r="P8" s="134"/>
      <c r="Q8" s="134"/>
      <c r="R8" s="134"/>
      <c r="S8" s="134"/>
      <c r="T8" s="134"/>
      <c r="U8" s="134"/>
      <c r="V8" s="134"/>
      <c r="W8" s="134"/>
      <c r="X8" s="674"/>
      <c r="Y8" s="90"/>
      <c r="Z8" s="134">
        <f t="shared" ref="Z8:AP8" si="3">SUBTOTAL(9,Z9:Z16)</f>
        <v>8772.957</v>
      </c>
      <c r="AA8" s="134">
        <f t="shared" si="3"/>
        <v>8512.957</v>
      </c>
      <c r="AB8" s="134">
        <f t="shared" si="3"/>
        <v>260</v>
      </c>
      <c r="AC8" s="134">
        <f t="shared" si="3"/>
        <v>0</v>
      </c>
      <c r="AD8" s="134">
        <f t="shared" si="3"/>
        <v>0</v>
      </c>
      <c r="AE8" s="134">
        <f t="shared" si="3"/>
        <v>0</v>
      </c>
      <c r="AF8" s="134">
        <f t="shared" si="3"/>
        <v>0</v>
      </c>
      <c r="AG8" s="134">
        <f t="shared" si="3"/>
        <v>0</v>
      </c>
      <c r="AH8" s="134">
        <f t="shared" si="3"/>
        <v>0</v>
      </c>
      <c r="AI8" s="134">
        <f t="shared" si="3"/>
        <v>174</v>
      </c>
      <c r="AJ8" s="134">
        <f t="shared" si="3"/>
        <v>102</v>
      </c>
      <c r="AK8" s="134">
        <f t="shared" si="3"/>
        <v>72</v>
      </c>
      <c r="AL8" s="134">
        <f t="shared" si="3"/>
        <v>18864</v>
      </c>
      <c r="AM8" s="134">
        <f t="shared" si="3"/>
        <v>15417</v>
      </c>
      <c r="AN8" s="134">
        <f t="shared" si="3"/>
        <v>5362</v>
      </c>
      <c r="AO8" s="134">
        <f t="shared" si="3"/>
        <v>5100</v>
      </c>
      <c r="AP8" s="134">
        <f t="shared" si="3"/>
        <v>3773</v>
      </c>
      <c r="AQ8" s="90"/>
      <c r="AR8" s="112"/>
      <c r="AS8" s="678"/>
      <c r="AT8" s="134"/>
      <c r="AU8" s="93"/>
      <c r="AV8" s="165"/>
      <c r="AW8" s="158"/>
      <c r="AX8" s="158"/>
      <c r="AY8" s="158"/>
      <c r="AZ8" s="158"/>
      <c r="BA8" s="169"/>
      <c r="BB8" s="165"/>
      <c r="BC8" s="165"/>
      <c r="BD8" s="165"/>
      <c r="BE8" s="169"/>
      <c r="BF8" s="169"/>
      <c r="BG8" s="169"/>
      <c r="BI8" s="165"/>
      <c r="BJ8" s="157"/>
      <c r="BK8" s="157"/>
      <c r="BM8" s="201"/>
      <c r="BN8" s="7"/>
    </row>
    <row r="9" s="9" customFormat="1" ht="60.75" customHeight="1" spans="1:66">
      <c r="A9" s="23">
        <f>SUBTOTAL(3,C$9:C9)</f>
        <v>1</v>
      </c>
      <c r="B9" s="55" t="s">
        <v>1711</v>
      </c>
      <c r="C9" s="35" t="s">
        <v>562</v>
      </c>
      <c r="D9" s="55" t="s">
        <v>1712</v>
      </c>
      <c r="E9" s="35" t="s">
        <v>575</v>
      </c>
      <c r="F9" s="38">
        <v>28382</v>
      </c>
      <c r="G9" s="38">
        <v>4000</v>
      </c>
      <c r="H9" s="134"/>
      <c r="I9" s="136">
        <v>2000</v>
      </c>
      <c r="J9" s="136">
        <v>4000</v>
      </c>
      <c r="K9" s="136">
        <v>6000</v>
      </c>
      <c r="L9" s="38">
        <v>9000</v>
      </c>
      <c r="M9" s="134"/>
      <c r="N9" s="123" t="s">
        <v>1713</v>
      </c>
      <c r="O9" s="134"/>
      <c r="P9" s="134"/>
      <c r="Q9" s="134"/>
      <c r="R9" s="134"/>
      <c r="S9" s="134"/>
      <c r="T9" s="134"/>
      <c r="U9" s="134"/>
      <c r="V9" s="134"/>
      <c r="W9" s="134"/>
      <c r="X9" s="674"/>
      <c r="Y9" s="90"/>
      <c r="Z9" s="132">
        <v>8.1</v>
      </c>
      <c r="AA9" s="132">
        <v>8.1</v>
      </c>
      <c r="AB9" s="132"/>
      <c r="AC9" s="132"/>
      <c r="AD9" s="132"/>
      <c r="AE9" s="132"/>
      <c r="AF9" s="132"/>
      <c r="AG9" s="132"/>
      <c r="AH9" s="132"/>
      <c r="AI9" s="132"/>
      <c r="AJ9" s="132"/>
      <c r="AK9" s="132"/>
      <c r="AL9" s="99">
        <v>4000</v>
      </c>
      <c r="AM9" s="99"/>
      <c r="AN9" s="99"/>
      <c r="AO9" s="99">
        <v>5100</v>
      </c>
      <c r="AP9" s="99"/>
      <c r="AQ9" s="90"/>
      <c r="AR9" s="90" t="s">
        <v>1714</v>
      </c>
      <c r="AS9" s="55" t="s">
        <v>1715</v>
      </c>
      <c r="AT9" s="35" t="s">
        <v>498</v>
      </c>
      <c r="AU9" s="34" t="s">
        <v>1716</v>
      </c>
      <c r="AV9" s="600"/>
      <c r="AW9" s="840"/>
      <c r="AX9" s="840"/>
      <c r="AY9" s="840"/>
      <c r="AZ9" s="840"/>
      <c r="BA9" s="529"/>
      <c r="BB9" s="600"/>
      <c r="BC9" s="600"/>
      <c r="BD9" s="600"/>
      <c r="BE9" s="529"/>
      <c r="BF9" s="529"/>
      <c r="BG9" s="529"/>
      <c r="BI9" s="600"/>
      <c r="BJ9" s="201"/>
      <c r="BK9" s="201"/>
      <c r="BM9" s="201"/>
      <c r="BN9" s="7"/>
    </row>
    <row r="10" s="9" customFormat="1" ht="66" customHeight="1" spans="1:66">
      <c r="A10" s="23">
        <f>SUBTOTAL(3,C$9:C10)</f>
        <v>2</v>
      </c>
      <c r="B10" s="55" t="s">
        <v>1717</v>
      </c>
      <c r="C10" s="35" t="s">
        <v>79</v>
      </c>
      <c r="D10" s="55" t="s">
        <v>1718</v>
      </c>
      <c r="E10" s="35" t="s">
        <v>112</v>
      </c>
      <c r="F10" s="36">
        <v>17320</v>
      </c>
      <c r="G10" s="36"/>
      <c r="H10" s="81" t="s">
        <v>82</v>
      </c>
      <c r="I10" s="81"/>
      <c r="J10" s="81"/>
      <c r="K10" s="81"/>
      <c r="L10" s="36">
        <v>1000</v>
      </c>
      <c r="M10" s="36"/>
      <c r="N10" s="58" t="s">
        <v>775</v>
      </c>
      <c r="O10" s="134"/>
      <c r="P10" s="134"/>
      <c r="Q10" s="134"/>
      <c r="R10" s="134"/>
      <c r="S10" s="134"/>
      <c r="T10" s="134"/>
      <c r="U10" s="134"/>
      <c r="V10" s="134"/>
      <c r="W10" s="134"/>
      <c r="X10" s="674"/>
      <c r="Y10" s="90"/>
      <c r="Z10" s="132">
        <v>130</v>
      </c>
      <c r="AA10" s="132"/>
      <c r="AB10" s="132">
        <v>130</v>
      </c>
      <c r="AC10" s="132"/>
      <c r="AD10" s="132"/>
      <c r="AE10" s="132"/>
      <c r="AF10" s="132"/>
      <c r="AG10" s="132"/>
      <c r="AH10" s="132"/>
      <c r="AI10" s="132">
        <v>87</v>
      </c>
      <c r="AJ10" s="132">
        <v>51</v>
      </c>
      <c r="AK10" s="132">
        <v>36</v>
      </c>
      <c r="AL10" s="132">
        <v>5000</v>
      </c>
      <c r="AM10" s="132"/>
      <c r="AN10" s="132"/>
      <c r="AO10" s="132"/>
      <c r="AP10" s="132"/>
      <c r="AQ10" s="90"/>
      <c r="AR10" s="112" t="s">
        <v>1719</v>
      </c>
      <c r="AS10" s="55" t="s">
        <v>1720</v>
      </c>
      <c r="AT10" s="35" t="s">
        <v>269</v>
      </c>
      <c r="AU10" s="93" t="s">
        <v>1721</v>
      </c>
      <c r="AV10" s="600"/>
      <c r="AW10" s="840"/>
      <c r="AX10" s="840"/>
      <c r="AY10" s="840"/>
      <c r="AZ10" s="840"/>
      <c r="BA10" s="529"/>
      <c r="BB10" s="600"/>
      <c r="BC10" s="600"/>
      <c r="BD10" s="600"/>
      <c r="BE10" s="529"/>
      <c r="BF10" s="529"/>
      <c r="BG10" s="529"/>
      <c r="BI10" s="600"/>
      <c r="BJ10" s="201"/>
      <c r="BK10" s="201"/>
      <c r="BM10" s="201"/>
      <c r="BN10" s="7"/>
    </row>
    <row r="11" s="9" customFormat="1" ht="75" customHeight="1" spans="1:66">
      <c r="A11" s="23">
        <f>SUBTOTAL(3,C$9:C11)</f>
        <v>3</v>
      </c>
      <c r="B11" s="55" t="s">
        <v>1722</v>
      </c>
      <c r="C11" s="35" t="s">
        <v>79</v>
      </c>
      <c r="D11" s="55" t="s">
        <v>1723</v>
      </c>
      <c r="E11" s="35" t="s">
        <v>81</v>
      </c>
      <c r="F11" s="35">
        <v>10500</v>
      </c>
      <c r="G11" s="35"/>
      <c r="H11" s="67" t="s">
        <v>195</v>
      </c>
      <c r="I11" s="67">
        <v>200</v>
      </c>
      <c r="J11" s="67">
        <v>1200</v>
      </c>
      <c r="K11" s="67">
        <v>2500</v>
      </c>
      <c r="L11" s="257">
        <v>4000</v>
      </c>
      <c r="M11" s="257"/>
      <c r="N11" s="58" t="s">
        <v>1724</v>
      </c>
      <c r="O11" s="134"/>
      <c r="P11" s="134"/>
      <c r="Q11" s="134"/>
      <c r="R11" s="134"/>
      <c r="S11" s="134"/>
      <c r="T11" s="134"/>
      <c r="U11" s="134"/>
      <c r="V11" s="134"/>
      <c r="W11" s="134"/>
      <c r="X11" s="674"/>
      <c r="Y11" s="90"/>
      <c r="Z11" s="132">
        <v>130</v>
      </c>
      <c r="AA11" s="132"/>
      <c r="AB11" s="132">
        <v>130</v>
      </c>
      <c r="AC11" s="132"/>
      <c r="AD11" s="132"/>
      <c r="AE11" s="132"/>
      <c r="AF11" s="132"/>
      <c r="AG11" s="132"/>
      <c r="AH11" s="132"/>
      <c r="AI11" s="132">
        <v>87</v>
      </c>
      <c r="AJ11" s="132">
        <v>51</v>
      </c>
      <c r="AK11" s="132">
        <v>36</v>
      </c>
      <c r="AL11" s="132">
        <v>1584</v>
      </c>
      <c r="AM11" s="132"/>
      <c r="AN11" s="132"/>
      <c r="AO11" s="132"/>
      <c r="AP11" s="132"/>
      <c r="AQ11" s="90"/>
      <c r="AR11" s="112" t="s">
        <v>117</v>
      </c>
      <c r="AS11" s="88" t="s">
        <v>1311</v>
      </c>
      <c r="AT11" s="35" t="s">
        <v>269</v>
      </c>
      <c r="AU11" s="93" t="s">
        <v>1725</v>
      </c>
      <c r="AV11" s="600"/>
      <c r="AW11" s="840"/>
      <c r="AX11" s="840"/>
      <c r="AY11" s="840"/>
      <c r="AZ11" s="840"/>
      <c r="BA11" s="529"/>
      <c r="BB11" s="600"/>
      <c r="BC11" s="600"/>
      <c r="BD11" s="600"/>
      <c r="BE11" s="529"/>
      <c r="BF11" s="529"/>
      <c r="BG11" s="529"/>
      <c r="BI11" s="600"/>
      <c r="BJ11" s="201"/>
      <c r="BK11" s="201"/>
      <c r="BM11" s="201"/>
      <c r="BN11" s="7"/>
    </row>
    <row r="12" ht="66.75" customHeight="1" spans="1:47">
      <c r="A12" s="23">
        <f>SUBTOTAL(3,C$9:C12)</f>
        <v>4</v>
      </c>
      <c r="B12" s="55" t="s">
        <v>1726</v>
      </c>
      <c r="C12" s="35" t="s">
        <v>562</v>
      </c>
      <c r="D12" s="55" t="s">
        <v>1727</v>
      </c>
      <c r="E12" s="35" t="s">
        <v>575</v>
      </c>
      <c r="F12" s="36">
        <v>10094</v>
      </c>
      <c r="G12" s="36">
        <v>3587</v>
      </c>
      <c r="H12" s="134"/>
      <c r="I12" s="67">
        <v>2000</v>
      </c>
      <c r="J12" s="67">
        <v>3000</v>
      </c>
      <c r="K12" s="67">
        <v>4500</v>
      </c>
      <c r="L12" s="36">
        <v>5500</v>
      </c>
      <c r="M12" s="36"/>
      <c r="N12" s="123" t="s">
        <v>1728</v>
      </c>
      <c r="O12" s="134"/>
      <c r="P12" s="134"/>
      <c r="Q12" s="134"/>
      <c r="R12" s="134"/>
      <c r="S12" s="134"/>
      <c r="T12" s="134"/>
      <c r="U12" s="134"/>
      <c r="V12" s="134"/>
      <c r="W12" s="134"/>
      <c r="X12" s="674"/>
      <c r="Y12" s="90"/>
      <c r="Z12" s="132"/>
      <c r="AA12" s="132"/>
      <c r="AB12" s="132"/>
      <c r="AC12" s="132"/>
      <c r="AD12" s="132"/>
      <c r="AE12" s="132"/>
      <c r="AF12" s="132"/>
      <c r="AG12" s="132"/>
      <c r="AH12" s="132"/>
      <c r="AI12" s="132"/>
      <c r="AJ12" s="132"/>
      <c r="AK12" s="132"/>
      <c r="AL12" s="132">
        <v>1480</v>
      </c>
      <c r="AM12" s="132">
        <v>6012</v>
      </c>
      <c r="AN12" s="132">
        <v>2602</v>
      </c>
      <c r="AO12" s="132"/>
      <c r="AP12" s="132"/>
      <c r="AQ12" s="90"/>
      <c r="AR12" s="112" t="s">
        <v>117</v>
      </c>
      <c r="AS12" s="55" t="s">
        <v>1729</v>
      </c>
      <c r="AT12" s="35" t="s">
        <v>269</v>
      </c>
      <c r="AU12" s="91" t="s">
        <v>1730</v>
      </c>
    </row>
    <row r="13" s="9" customFormat="1" ht="59.25" customHeight="1" spans="1:66">
      <c r="A13" s="23">
        <f>SUBTOTAL(3,C$9:C13)</f>
        <v>5</v>
      </c>
      <c r="B13" s="55" t="s">
        <v>1731</v>
      </c>
      <c r="C13" s="35" t="s">
        <v>810</v>
      </c>
      <c r="D13" s="636" t="s">
        <v>1732</v>
      </c>
      <c r="E13" s="35" t="s">
        <v>812</v>
      </c>
      <c r="F13" s="36">
        <v>4850</v>
      </c>
      <c r="G13" s="36">
        <v>1098</v>
      </c>
      <c r="H13" s="81" t="s">
        <v>131</v>
      </c>
      <c r="I13" s="37">
        <v>200</v>
      </c>
      <c r="J13" s="37">
        <v>600</v>
      </c>
      <c r="K13" s="37">
        <v>800</v>
      </c>
      <c r="L13" s="36">
        <v>3752</v>
      </c>
      <c r="M13" s="134"/>
      <c r="N13" s="123" t="s">
        <v>971</v>
      </c>
      <c r="O13" s="134"/>
      <c r="P13" s="134"/>
      <c r="Q13" s="134"/>
      <c r="R13" s="134"/>
      <c r="S13" s="134"/>
      <c r="T13" s="134"/>
      <c r="U13" s="134"/>
      <c r="V13" s="134"/>
      <c r="W13" s="134"/>
      <c r="X13" s="674"/>
      <c r="Y13" s="90"/>
      <c r="Z13" s="132"/>
      <c r="AA13" s="132"/>
      <c r="AB13" s="132"/>
      <c r="AC13" s="132"/>
      <c r="AD13" s="132"/>
      <c r="AE13" s="132"/>
      <c r="AF13" s="132"/>
      <c r="AG13" s="132"/>
      <c r="AH13" s="132"/>
      <c r="AI13" s="132"/>
      <c r="AJ13" s="132"/>
      <c r="AK13" s="132"/>
      <c r="AL13" s="132">
        <v>600</v>
      </c>
      <c r="AM13" s="132">
        <v>120</v>
      </c>
      <c r="AN13" s="132"/>
      <c r="AO13" s="132"/>
      <c r="AP13" s="132"/>
      <c r="AQ13" s="90"/>
      <c r="AR13" s="112" t="s">
        <v>117</v>
      </c>
      <c r="AS13" s="55" t="s">
        <v>1733</v>
      </c>
      <c r="AT13" s="35" t="s">
        <v>269</v>
      </c>
      <c r="AU13" s="93" t="s">
        <v>1734</v>
      </c>
      <c r="AV13" s="600"/>
      <c r="AW13" s="840"/>
      <c r="AX13" s="840"/>
      <c r="AY13" s="840"/>
      <c r="AZ13" s="840"/>
      <c r="BA13" s="529"/>
      <c r="BB13" s="600"/>
      <c r="BC13" s="600"/>
      <c r="BD13" s="600"/>
      <c r="BE13" s="529"/>
      <c r="BF13" s="529"/>
      <c r="BG13" s="529"/>
      <c r="BI13" s="600"/>
      <c r="BJ13" s="201"/>
      <c r="BK13" s="201"/>
      <c r="BM13" s="201"/>
      <c r="BN13" s="7"/>
    </row>
    <row r="14" s="9" customFormat="1" ht="72.75" customHeight="1" spans="1:66">
      <c r="A14" s="23">
        <f>SUBTOTAL(3,C$9:C14)</f>
        <v>6</v>
      </c>
      <c r="B14" s="55" t="s">
        <v>1735</v>
      </c>
      <c r="C14" s="35" t="s">
        <v>562</v>
      </c>
      <c r="D14" s="55" t="s">
        <v>1736</v>
      </c>
      <c r="E14" s="35" t="s">
        <v>575</v>
      </c>
      <c r="F14" s="35">
        <v>11305</v>
      </c>
      <c r="G14" s="67">
        <v>400</v>
      </c>
      <c r="H14" s="134"/>
      <c r="I14" s="67">
        <v>600</v>
      </c>
      <c r="J14" s="67">
        <v>1300</v>
      </c>
      <c r="K14" s="67">
        <v>2200</v>
      </c>
      <c r="L14" s="35">
        <v>4500</v>
      </c>
      <c r="M14" s="134"/>
      <c r="N14" s="123" t="s">
        <v>1737</v>
      </c>
      <c r="O14" s="134"/>
      <c r="P14" s="134"/>
      <c r="Q14" s="134"/>
      <c r="R14" s="134"/>
      <c r="S14" s="134"/>
      <c r="T14" s="134"/>
      <c r="U14" s="134"/>
      <c r="V14" s="134"/>
      <c r="W14" s="134"/>
      <c r="X14" s="674"/>
      <c r="Y14" s="90"/>
      <c r="Z14" s="132">
        <v>8500</v>
      </c>
      <c r="AA14" s="132">
        <v>8500</v>
      </c>
      <c r="AB14" s="132"/>
      <c r="AC14" s="132"/>
      <c r="AD14" s="132"/>
      <c r="AE14" s="132"/>
      <c r="AF14" s="132"/>
      <c r="AG14" s="132"/>
      <c r="AH14" s="132"/>
      <c r="AI14" s="132"/>
      <c r="AJ14" s="132"/>
      <c r="AK14" s="132"/>
      <c r="AL14" s="731"/>
      <c r="AM14" s="833">
        <v>9044.99999999999</v>
      </c>
      <c r="AN14" s="833">
        <v>2260</v>
      </c>
      <c r="AO14" s="552"/>
      <c r="AP14" s="552"/>
      <c r="AQ14" s="90"/>
      <c r="AR14" s="90" t="s">
        <v>117</v>
      </c>
      <c r="AS14" s="55" t="s">
        <v>1738</v>
      </c>
      <c r="AT14" s="35" t="s">
        <v>317</v>
      </c>
      <c r="AU14" s="93" t="s">
        <v>1739</v>
      </c>
      <c r="AV14" s="600"/>
      <c r="AW14" s="840"/>
      <c r="AX14" s="840"/>
      <c r="AY14" s="840"/>
      <c r="AZ14" s="840"/>
      <c r="BA14" s="529"/>
      <c r="BB14" s="600"/>
      <c r="BC14" s="600"/>
      <c r="BD14" s="600"/>
      <c r="BE14" s="529"/>
      <c r="BF14" s="529"/>
      <c r="BG14" s="529"/>
      <c r="BI14" s="600"/>
      <c r="BJ14" s="201"/>
      <c r="BK14" s="201"/>
      <c r="BM14" s="201"/>
      <c r="BN14" s="7"/>
    </row>
    <row r="15" s="9" customFormat="1" ht="75" customHeight="1" spans="1:66">
      <c r="A15" s="23">
        <f>SUBTOTAL(3,C$9:C15)</f>
        <v>7</v>
      </c>
      <c r="B15" s="829" t="s">
        <v>1740</v>
      </c>
      <c r="C15" s="35" t="s">
        <v>562</v>
      </c>
      <c r="D15" s="232" t="s">
        <v>1741</v>
      </c>
      <c r="E15" s="35" t="s">
        <v>575</v>
      </c>
      <c r="F15" s="35">
        <v>8773</v>
      </c>
      <c r="G15" s="35">
        <v>4100</v>
      </c>
      <c r="H15" s="134"/>
      <c r="I15" s="67">
        <v>600</v>
      </c>
      <c r="J15" s="67">
        <v>1300</v>
      </c>
      <c r="K15" s="67">
        <v>2200</v>
      </c>
      <c r="L15" s="35">
        <v>4000</v>
      </c>
      <c r="M15" s="134"/>
      <c r="N15" s="123" t="s">
        <v>1742</v>
      </c>
      <c r="O15" s="134"/>
      <c r="P15" s="134"/>
      <c r="Q15" s="134"/>
      <c r="R15" s="134"/>
      <c r="S15" s="134"/>
      <c r="T15" s="134"/>
      <c r="U15" s="134"/>
      <c r="V15" s="134"/>
      <c r="W15" s="134"/>
      <c r="X15" s="674"/>
      <c r="Y15" s="90"/>
      <c r="Z15" s="132">
        <v>4.857</v>
      </c>
      <c r="AA15" s="132">
        <v>4.857</v>
      </c>
      <c r="AB15" s="132"/>
      <c r="AC15" s="132"/>
      <c r="AD15" s="132"/>
      <c r="AE15" s="132"/>
      <c r="AF15" s="132"/>
      <c r="AG15" s="132"/>
      <c r="AH15" s="132"/>
      <c r="AI15" s="132"/>
      <c r="AJ15" s="132"/>
      <c r="AK15" s="132"/>
      <c r="AL15" s="99">
        <v>5000</v>
      </c>
      <c r="AM15" s="834"/>
      <c r="AN15" s="330"/>
      <c r="AO15" s="836"/>
      <c r="AP15" s="99">
        <v>3773</v>
      </c>
      <c r="AQ15" s="90"/>
      <c r="AR15" s="90" t="s">
        <v>1743</v>
      </c>
      <c r="AS15" s="55" t="s">
        <v>785</v>
      </c>
      <c r="AT15" s="35" t="s">
        <v>317</v>
      </c>
      <c r="AU15" s="93" t="s">
        <v>1744</v>
      </c>
      <c r="AV15" s="600"/>
      <c r="AW15" s="840"/>
      <c r="AX15" s="840"/>
      <c r="AY15" s="840"/>
      <c r="AZ15" s="840"/>
      <c r="BA15" s="529"/>
      <c r="BB15" s="600"/>
      <c r="BC15" s="600"/>
      <c r="BD15" s="600"/>
      <c r="BE15" s="529"/>
      <c r="BF15" s="529"/>
      <c r="BG15" s="529"/>
      <c r="BI15" s="600"/>
      <c r="BJ15" s="201"/>
      <c r="BK15" s="201"/>
      <c r="BM15" s="201"/>
      <c r="BN15" s="7"/>
    </row>
    <row r="16" s="9" customFormat="1" ht="69.75" customHeight="1" spans="1:66">
      <c r="A16" s="23">
        <f>SUBTOTAL(3,C$9:C16)</f>
        <v>8</v>
      </c>
      <c r="B16" s="829" t="s">
        <v>1745</v>
      </c>
      <c r="C16" s="35" t="s">
        <v>810</v>
      </c>
      <c r="D16" s="565" t="s">
        <v>1746</v>
      </c>
      <c r="E16" s="35" t="s">
        <v>832</v>
      </c>
      <c r="F16" s="35">
        <v>7447</v>
      </c>
      <c r="G16" s="35">
        <v>5900</v>
      </c>
      <c r="H16" s="81" t="s">
        <v>283</v>
      </c>
      <c r="I16" s="37">
        <v>300</v>
      </c>
      <c r="J16" s="37">
        <v>700</v>
      </c>
      <c r="K16" s="37">
        <v>1100</v>
      </c>
      <c r="L16" s="35">
        <v>1547</v>
      </c>
      <c r="M16" s="35"/>
      <c r="N16" s="123" t="s">
        <v>971</v>
      </c>
      <c r="O16" s="134"/>
      <c r="P16" s="134"/>
      <c r="Q16" s="134"/>
      <c r="R16" s="134"/>
      <c r="S16" s="134"/>
      <c r="T16" s="134"/>
      <c r="U16" s="134"/>
      <c r="V16" s="134"/>
      <c r="W16" s="134"/>
      <c r="X16" s="674"/>
      <c r="Y16" s="90"/>
      <c r="Z16" s="132"/>
      <c r="AA16" s="132"/>
      <c r="AB16" s="132"/>
      <c r="AC16" s="132"/>
      <c r="AD16" s="132"/>
      <c r="AE16" s="132"/>
      <c r="AF16" s="132"/>
      <c r="AG16" s="132"/>
      <c r="AH16" s="132"/>
      <c r="AI16" s="132"/>
      <c r="AJ16" s="132"/>
      <c r="AK16" s="132"/>
      <c r="AL16" s="132">
        <v>1200</v>
      </c>
      <c r="AM16" s="132">
        <v>240</v>
      </c>
      <c r="AN16" s="132">
        <v>500</v>
      </c>
      <c r="AO16" s="132"/>
      <c r="AP16" s="132"/>
      <c r="AQ16" s="90"/>
      <c r="AR16" s="34" t="s">
        <v>1747</v>
      </c>
      <c r="AS16" s="55" t="s">
        <v>1748</v>
      </c>
      <c r="AT16" s="35" t="s">
        <v>317</v>
      </c>
      <c r="AU16" s="91" t="s">
        <v>1749</v>
      </c>
      <c r="AV16" s="600"/>
      <c r="AW16" s="840"/>
      <c r="AX16" s="840"/>
      <c r="AY16" s="840"/>
      <c r="AZ16" s="840"/>
      <c r="BA16" s="529"/>
      <c r="BB16" s="600"/>
      <c r="BC16" s="600"/>
      <c r="BD16" s="600"/>
      <c r="BE16" s="529"/>
      <c r="BF16" s="529"/>
      <c r="BG16" s="529"/>
      <c r="BI16" s="600"/>
      <c r="BJ16" s="201"/>
      <c r="BK16" s="201"/>
      <c r="BM16" s="201"/>
      <c r="BN16" s="7"/>
    </row>
    <row r="17" s="9" customFormat="1" ht="80.1" customHeight="1" spans="1:66">
      <c r="A17" s="23">
        <f>SUBTOTAL(3,C$9:C17)</f>
        <v>9</v>
      </c>
      <c r="B17" s="34" t="s">
        <v>1750</v>
      </c>
      <c r="C17" s="35" t="s">
        <v>562</v>
      </c>
      <c r="D17" s="830" t="s">
        <v>1751</v>
      </c>
      <c r="E17" s="35" t="s">
        <v>575</v>
      </c>
      <c r="F17" s="35">
        <v>4327</v>
      </c>
      <c r="G17" s="35">
        <v>200</v>
      </c>
      <c r="H17" s="134"/>
      <c r="I17" s="67">
        <v>100</v>
      </c>
      <c r="J17" s="67">
        <v>500</v>
      </c>
      <c r="K17" s="67">
        <v>800</v>
      </c>
      <c r="L17" s="35">
        <v>1000</v>
      </c>
      <c r="M17" s="134"/>
      <c r="N17" s="54" t="s">
        <v>1752</v>
      </c>
      <c r="O17" s="134"/>
      <c r="P17" s="134"/>
      <c r="Q17" s="134"/>
      <c r="R17" s="134"/>
      <c r="S17" s="134"/>
      <c r="T17" s="134"/>
      <c r="U17" s="134"/>
      <c r="V17" s="134"/>
      <c r="W17" s="134"/>
      <c r="X17" s="674"/>
      <c r="Y17" s="90"/>
      <c r="Z17" s="132"/>
      <c r="AA17" s="132"/>
      <c r="AB17" s="132"/>
      <c r="AC17" s="132"/>
      <c r="AD17" s="132"/>
      <c r="AE17" s="132"/>
      <c r="AF17" s="132"/>
      <c r="AG17" s="132"/>
      <c r="AH17" s="132"/>
      <c r="AI17" s="132"/>
      <c r="AJ17" s="132"/>
      <c r="AK17" s="132"/>
      <c r="AL17" s="132"/>
      <c r="AM17" s="132">
        <v>1000</v>
      </c>
      <c r="AN17" s="132"/>
      <c r="AO17" s="132"/>
      <c r="AP17" s="132"/>
      <c r="AQ17" s="90"/>
      <c r="AR17" s="90" t="s">
        <v>1753</v>
      </c>
      <c r="AS17" s="55" t="s">
        <v>807</v>
      </c>
      <c r="AT17" s="35" t="s">
        <v>375</v>
      </c>
      <c r="AU17" s="93" t="s">
        <v>1754</v>
      </c>
      <c r="AV17" s="600"/>
      <c r="AW17" s="840"/>
      <c r="AX17" s="840"/>
      <c r="AY17" s="840"/>
      <c r="AZ17" s="840"/>
      <c r="BA17" s="529"/>
      <c r="BB17" s="600"/>
      <c r="BC17" s="600"/>
      <c r="BD17" s="600"/>
      <c r="BE17" s="529"/>
      <c r="BF17" s="529"/>
      <c r="BG17" s="529"/>
      <c r="BI17" s="600"/>
      <c r="BJ17" s="201"/>
      <c r="BK17" s="201"/>
      <c r="BM17" s="201"/>
      <c r="BN17" s="7"/>
    </row>
    <row r="18" s="9" customFormat="1" ht="30" customHeight="1" spans="1:66">
      <c r="A18" s="551" t="s">
        <v>560</v>
      </c>
      <c r="B18" s="557" t="str">
        <f>"政府必建项目（"&amp;SUBTOTAL(3,C19:C45)&amp;"个）"</f>
        <v>政府必建项目（23个）</v>
      </c>
      <c r="C18" s="557"/>
      <c r="D18" s="557"/>
      <c r="E18" s="551"/>
      <c r="F18" s="134">
        <f t="shared" ref="F18:M18" si="4">F19+F33+F36+F38</f>
        <v>332083.17</v>
      </c>
      <c r="G18" s="134">
        <f t="shared" si="4"/>
        <v>82204</v>
      </c>
      <c r="H18" s="134"/>
      <c r="I18" s="134">
        <f t="shared" si="4"/>
        <v>12700</v>
      </c>
      <c r="J18" s="134">
        <f t="shared" si="4"/>
        <v>33220</v>
      </c>
      <c r="K18" s="134">
        <f t="shared" si="4"/>
        <v>60740</v>
      </c>
      <c r="L18" s="134">
        <f t="shared" si="4"/>
        <v>85481</v>
      </c>
      <c r="M18" s="134">
        <f t="shared" si="4"/>
        <v>0</v>
      </c>
      <c r="N18" s="134"/>
      <c r="O18" s="134">
        <f t="shared" ref="O18:AQ18" si="5">O19+O33+O36+O38</f>
        <v>0</v>
      </c>
      <c r="P18" s="134">
        <f t="shared" si="5"/>
        <v>0</v>
      </c>
      <c r="Q18" s="134">
        <f t="shared" si="5"/>
        <v>0</v>
      </c>
      <c r="R18" s="134">
        <f t="shared" si="5"/>
        <v>0</v>
      </c>
      <c r="S18" s="134">
        <f t="shared" si="5"/>
        <v>0</v>
      </c>
      <c r="T18" s="134">
        <f t="shared" si="5"/>
        <v>0</v>
      </c>
      <c r="U18" s="134">
        <f t="shared" si="5"/>
        <v>0</v>
      </c>
      <c r="V18" s="134">
        <f t="shared" si="5"/>
        <v>0</v>
      </c>
      <c r="W18" s="134">
        <f t="shared" si="5"/>
        <v>0</v>
      </c>
      <c r="X18" s="134">
        <f t="shared" si="5"/>
        <v>0</v>
      </c>
      <c r="Y18" s="134">
        <f t="shared" si="5"/>
        <v>0</v>
      </c>
      <c r="Z18" s="134">
        <f t="shared" si="5"/>
        <v>1127.57</v>
      </c>
      <c r="AA18" s="134">
        <f t="shared" si="5"/>
        <v>833.07</v>
      </c>
      <c r="AB18" s="134">
        <f t="shared" si="5"/>
        <v>262.5</v>
      </c>
      <c r="AC18" s="134">
        <f t="shared" si="5"/>
        <v>125</v>
      </c>
      <c r="AD18" s="134">
        <f t="shared" si="5"/>
        <v>0</v>
      </c>
      <c r="AE18" s="134">
        <f t="shared" si="5"/>
        <v>76</v>
      </c>
      <c r="AF18" s="134">
        <f t="shared" si="5"/>
        <v>0</v>
      </c>
      <c r="AG18" s="134">
        <f t="shared" si="5"/>
        <v>0</v>
      </c>
      <c r="AH18" s="134">
        <f t="shared" si="5"/>
        <v>0</v>
      </c>
      <c r="AI18" s="134">
        <f t="shared" si="5"/>
        <v>706.31</v>
      </c>
      <c r="AJ18" s="134">
        <f t="shared" si="5"/>
        <v>560.05</v>
      </c>
      <c r="AK18" s="134">
        <f t="shared" si="5"/>
        <v>146.26</v>
      </c>
      <c r="AL18" s="134">
        <f t="shared" si="5"/>
        <v>0</v>
      </c>
      <c r="AM18" s="134">
        <f t="shared" si="5"/>
        <v>0</v>
      </c>
      <c r="AN18" s="134">
        <f t="shared" si="5"/>
        <v>2600</v>
      </c>
      <c r="AO18" s="134">
        <f t="shared" si="5"/>
        <v>600</v>
      </c>
      <c r="AP18" s="134">
        <f t="shared" si="5"/>
        <v>5100</v>
      </c>
      <c r="AQ18" s="134">
        <f t="shared" si="5"/>
        <v>0</v>
      </c>
      <c r="AR18" s="112"/>
      <c r="AS18" s="678"/>
      <c r="AT18" s="134"/>
      <c r="AU18" s="93"/>
      <c r="AV18" s="165"/>
      <c r="AW18" s="158"/>
      <c r="AX18" s="158"/>
      <c r="AY18" s="158"/>
      <c r="AZ18" s="158"/>
      <c r="BA18" s="169"/>
      <c r="BB18" s="165"/>
      <c r="BC18" s="165"/>
      <c r="BD18" s="165"/>
      <c r="BE18" s="169"/>
      <c r="BF18" s="169"/>
      <c r="BG18" s="169"/>
      <c r="BI18" s="165"/>
      <c r="BJ18" s="157"/>
      <c r="BK18" s="157"/>
      <c r="BM18" s="201"/>
      <c r="BN18" s="7"/>
    </row>
    <row r="19" s="9" customFormat="1" ht="30" customHeight="1" spans="1:66">
      <c r="A19" s="551" t="s">
        <v>77</v>
      </c>
      <c r="B19" s="557" t="str">
        <f>"教育（"&amp;SUBTOTAL(3,C20:C32)&amp;"个）"</f>
        <v>教育（13个）</v>
      </c>
      <c r="C19" s="557"/>
      <c r="D19" s="557"/>
      <c r="E19" s="551"/>
      <c r="F19" s="134">
        <f t="shared" ref="F19:L19" si="6">SUBTOTAL(9,F20:F32)</f>
        <v>252774.17</v>
      </c>
      <c r="G19" s="134">
        <f t="shared" si="6"/>
        <v>81004</v>
      </c>
      <c r="H19" s="134"/>
      <c r="I19" s="134">
        <f t="shared" si="6"/>
        <v>12300</v>
      </c>
      <c r="J19" s="134">
        <f t="shared" si="6"/>
        <v>30220</v>
      </c>
      <c r="K19" s="134">
        <f t="shared" si="6"/>
        <v>50390</v>
      </c>
      <c r="L19" s="134">
        <f t="shared" si="6"/>
        <v>67481</v>
      </c>
      <c r="M19" s="134"/>
      <c r="N19" s="591"/>
      <c r="O19" s="134"/>
      <c r="P19" s="134"/>
      <c r="Q19" s="134"/>
      <c r="R19" s="134"/>
      <c r="S19" s="134"/>
      <c r="T19" s="134"/>
      <c r="U19" s="134"/>
      <c r="V19" s="134"/>
      <c r="W19" s="134"/>
      <c r="X19" s="674"/>
      <c r="Y19" s="90"/>
      <c r="Z19" s="134">
        <f t="shared" ref="Z19:AP19" si="7">SUBTOTAL(9,Z20:Z32)</f>
        <v>593.55</v>
      </c>
      <c r="AA19" s="134">
        <f t="shared" si="7"/>
        <v>529.05</v>
      </c>
      <c r="AB19" s="134">
        <f t="shared" si="7"/>
        <v>72.5</v>
      </c>
      <c r="AC19" s="134">
        <f t="shared" si="7"/>
        <v>0</v>
      </c>
      <c r="AD19" s="134">
        <f t="shared" si="7"/>
        <v>0</v>
      </c>
      <c r="AE19" s="134">
        <f t="shared" si="7"/>
        <v>0</v>
      </c>
      <c r="AF19" s="134">
        <f t="shared" si="7"/>
        <v>0</v>
      </c>
      <c r="AG19" s="134">
        <f t="shared" si="7"/>
        <v>0</v>
      </c>
      <c r="AH19" s="134">
        <f t="shared" si="7"/>
        <v>0</v>
      </c>
      <c r="AI19" s="134">
        <f t="shared" si="7"/>
        <v>169.31</v>
      </c>
      <c r="AJ19" s="134">
        <f t="shared" si="7"/>
        <v>159.05</v>
      </c>
      <c r="AK19" s="134">
        <f t="shared" si="7"/>
        <v>10.26</v>
      </c>
      <c r="AL19" s="134">
        <f t="shared" si="7"/>
        <v>0</v>
      </c>
      <c r="AM19" s="134">
        <f t="shared" si="7"/>
        <v>0</v>
      </c>
      <c r="AN19" s="134">
        <f t="shared" si="7"/>
        <v>0</v>
      </c>
      <c r="AO19" s="134">
        <f t="shared" si="7"/>
        <v>0</v>
      </c>
      <c r="AP19" s="134">
        <f t="shared" si="7"/>
        <v>3100</v>
      </c>
      <c r="AQ19" s="90"/>
      <c r="AR19" s="112"/>
      <c r="AS19" s="678"/>
      <c r="AT19" s="134"/>
      <c r="AU19" s="93"/>
      <c r="AV19" s="619"/>
      <c r="AW19" s="841"/>
      <c r="AX19" s="841"/>
      <c r="AY19" s="841"/>
      <c r="AZ19" s="841"/>
      <c r="BA19" s="842"/>
      <c r="BB19" s="619"/>
      <c r="BC19" s="619"/>
      <c r="BD19" s="619"/>
      <c r="BE19" s="842"/>
      <c r="BF19" s="842"/>
      <c r="BG19" s="842"/>
      <c r="BI19" s="619"/>
      <c r="BJ19" s="659"/>
      <c r="BK19" s="659"/>
      <c r="BM19" s="201"/>
      <c r="BN19" s="7"/>
    </row>
    <row r="20" s="9" customFormat="1" ht="69.95" customHeight="1" spans="1:66">
      <c r="A20" s="23">
        <f>SUBTOTAL(3,C$9:C20)</f>
        <v>10</v>
      </c>
      <c r="B20" s="55" t="s">
        <v>1755</v>
      </c>
      <c r="C20" s="35" t="s">
        <v>810</v>
      </c>
      <c r="D20" s="34" t="s">
        <v>1756</v>
      </c>
      <c r="E20" s="35" t="s">
        <v>832</v>
      </c>
      <c r="F20" s="38">
        <v>11000</v>
      </c>
      <c r="G20" s="36">
        <v>9060</v>
      </c>
      <c r="H20" s="83" t="s">
        <v>195</v>
      </c>
      <c r="I20" s="578">
        <v>300</v>
      </c>
      <c r="J20" s="578">
        <v>1000</v>
      </c>
      <c r="K20" s="578">
        <v>1940</v>
      </c>
      <c r="L20" s="38">
        <v>1940</v>
      </c>
      <c r="M20" s="134"/>
      <c r="N20" s="123" t="s">
        <v>971</v>
      </c>
      <c r="O20" s="134"/>
      <c r="P20" s="134"/>
      <c r="Q20" s="134"/>
      <c r="R20" s="134"/>
      <c r="S20" s="134"/>
      <c r="T20" s="134"/>
      <c r="U20" s="134"/>
      <c r="V20" s="134"/>
      <c r="W20" s="134"/>
      <c r="X20" s="674"/>
      <c r="Y20" s="90"/>
      <c r="Z20" s="132">
        <v>110</v>
      </c>
      <c r="AA20" s="132">
        <v>110</v>
      </c>
      <c r="AB20" s="132"/>
      <c r="AC20" s="132"/>
      <c r="AD20" s="132"/>
      <c r="AE20" s="132"/>
      <c r="AF20" s="132"/>
      <c r="AG20" s="132"/>
      <c r="AH20" s="132"/>
      <c r="AI20" s="132"/>
      <c r="AJ20" s="132"/>
      <c r="AK20" s="132"/>
      <c r="AL20" s="132"/>
      <c r="AM20" s="132"/>
      <c r="AN20" s="132"/>
      <c r="AO20" s="132"/>
      <c r="AP20" s="132">
        <v>2600</v>
      </c>
      <c r="AQ20" s="837"/>
      <c r="AR20" s="112" t="s">
        <v>1757</v>
      </c>
      <c r="AS20" s="55" t="s">
        <v>1758</v>
      </c>
      <c r="AT20" s="35" t="s">
        <v>1759</v>
      </c>
      <c r="AU20" s="93"/>
      <c r="AV20" s="600"/>
      <c r="AW20" s="840"/>
      <c r="AX20" s="840"/>
      <c r="AY20" s="840"/>
      <c r="AZ20" s="840"/>
      <c r="BA20" s="529"/>
      <c r="BB20" s="600"/>
      <c r="BC20" s="600"/>
      <c r="BD20" s="600"/>
      <c r="BE20" s="529"/>
      <c r="BF20" s="529"/>
      <c r="BG20" s="529"/>
      <c r="BI20" s="600"/>
      <c r="BJ20" s="201"/>
      <c r="BK20" s="201"/>
      <c r="BM20" s="201"/>
      <c r="BN20" s="7"/>
    </row>
    <row r="21" ht="71.25" customHeight="1" spans="1:47">
      <c r="A21" s="23">
        <f>SUBTOTAL(3,C$9:C21)</f>
        <v>11</v>
      </c>
      <c r="B21" s="88" t="s">
        <v>1760</v>
      </c>
      <c r="C21" s="76" t="s">
        <v>562</v>
      </c>
      <c r="D21" s="696" t="s">
        <v>1761</v>
      </c>
      <c r="E21" s="35" t="s">
        <v>627</v>
      </c>
      <c r="F21" s="721">
        <v>4801.8</v>
      </c>
      <c r="G21" s="722">
        <v>2080</v>
      </c>
      <c r="H21" s="134"/>
      <c r="I21" s="23">
        <v>100</v>
      </c>
      <c r="J21" s="23">
        <v>200</v>
      </c>
      <c r="K21" s="23">
        <v>400</v>
      </c>
      <c r="L21" s="23">
        <v>500</v>
      </c>
      <c r="M21" s="23"/>
      <c r="N21" s="66" t="s">
        <v>1762</v>
      </c>
      <c r="O21" s="134"/>
      <c r="P21" s="134"/>
      <c r="Q21" s="134"/>
      <c r="R21" s="134"/>
      <c r="S21" s="134"/>
      <c r="T21" s="134"/>
      <c r="U21" s="134"/>
      <c r="V21" s="134"/>
      <c r="W21" s="134"/>
      <c r="X21" s="674"/>
      <c r="Y21" s="90"/>
      <c r="Z21" s="115"/>
      <c r="AA21" s="115"/>
      <c r="AB21" s="115"/>
      <c r="AC21" s="115"/>
      <c r="AD21" s="115"/>
      <c r="AE21" s="115"/>
      <c r="AF21" s="115"/>
      <c r="AG21" s="115"/>
      <c r="AH21" s="115"/>
      <c r="AI21" s="115"/>
      <c r="AJ21" s="115"/>
      <c r="AK21" s="115"/>
      <c r="AL21" s="132"/>
      <c r="AM21" s="132"/>
      <c r="AN21" s="132"/>
      <c r="AO21" s="132"/>
      <c r="AP21" s="132">
        <v>500</v>
      </c>
      <c r="AQ21" s="90"/>
      <c r="AR21" s="90" t="s">
        <v>1763</v>
      </c>
      <c r="AS21" s="55" t="s">
        <v>1040</v>
      </c>
      <c r="AT21" s="35" t="s">
        <v>498</v>
      </c>
      <c r="AU21" s="91"/>
    </row>
    <row r="22" s="9" customFormat="1" ht="74.25" customHeight="1" spans="1:66">
      <c r="A22" s="23">
        <f>SUBTOTAL(3,C$9:C22)</f>
        <v>12</v>
      </c>
      <c r="B22" s="55" t="s">
        <v>1764</v>
      </c>
      <c r="C22" s="35" t="s">
        <v>79</v>
      </c>
      <c r="D22" s="55" t="s">
        <v>1765</v>
      </c>
      <c r="E22" s="35" t="s">
        <v>112</v>
      </c>
      <c r="F22" s="36">
        <v>16000</v>
      </c>
      <c r="G22" s="36"/>
      <c r="H22" s="81" t="s">
        <v>144</v>
      </c>
      <c r="I22" s="37"/>
      <c r="J22" s="37">
        <v>300</v>
      </c>
      <c r="K22" s="37">
        <v>1200</v>
      </c>
      <c r="L22" s="36">
        <v>2000</v>
      </c>
      <c r="M22" s="36"/>
      <c r="N22" s="112" t="s">
        <v>1724</v>
      </c>
      <c r="O22" s="111"/>
      <c r="P22" s="67"/>
      <c r="Q22" s="115" t="s">
        <v>115</v>
      </c>
      <c r="R22" s="115" t="s">
        <v>115</v>
      </c>
      <c r="S22" s="115" t="s">
        <v>115</v>
      </c>
      <c r="T22" s="115" t="s">
        <v>115</v>
      </c>
      <c r="U22" s="115" t="s">
        <v>115</v>
      </c>
      <c r="V22" s="115" t="s">
        <v>115</v>
      </c>
      <c r="W22" s="115" t="s">
        <v>115</v>
      </c>
      <c r="X22" s="90" t="s">
        <v>1766</v>
      </c>
      <c r="Y22" s="90" t="s">
        <v>1767</v>
      </c>
      <c r="Z22" s="132">
        <v>42</v>
      </c>
      <c r="AA22" s="132">
        <v>42</v>
      </c>
      <c r="AB22" s="132"/>
      <c r="AC22" s="132"/>
      <c r="AD22" s="132"/>
      <c r="AE22" s="132"/>
      <c r="AF22" s="132"/>
      <c r="AG22" s="132"/>
      <c r="AH22" s="132"/>
      <c r="AI22" s="132">
        <v>50</v>
      </c>
      <c r="AJ22" s="132">
        <v>41</v>
      </c>
      <c r="AK22" s="132">
        <v>9</v>
      </c>
      <c r="AL22" s="132"/>
      <c r="AM22" s="132"/>
      <c r="AN22" s="132"/>
      <c r="AO22" s="132"/>
      <c r="AP22" s="132"/>
      <c r="AQ22" s="90"/>
      <c r="AR22" s="112" t="s">
        <v>1768</v>
      </c>
      <c r="AS22" s="55" t="s">
        <v>1321</v>
      </c>
      <c r="AT22" s="35" t="s">
        <v>269</v>
      </c>
      <c r="AU22" s="93"/>
      <c r="AV22" s="600"/>
      <c r="AW22" s="840"/>
      <c r="AX22" s="840"/>
      <c r="AY22" s="840"/>
      <c r="AZ22" s="840"/>
      <c r="BA22" s="529"/>
      <c r="BB22" s="600"/>
      <c r="BC22" s="600"/>
      <c r="BD22" s="600"/>
      <c r="BE22" s="529"/>
      <c r="BF22" s="529"/>
      <c r="BG22" s="529"/>
      <c r="BI22" s="600"/>
      <c r="BJ22" s="201"/>
      <c r="BK22" s="201"/>
      <c r="BM22" s="201"/>
      <c r="BN22" s="7"/>
    </row>
    <row r="23" s="9" customFormat="1" ht="71.25" customHeight="1" spans="1:66">
      <c r="A23" s="23">
        <f>SUBTOTAL(3,C$9:C23)</f>
        <v>13</v>
      </c>
      <c r="B23" s="55" t="s">
        <v>1769</v>
      </c>
      <c r="C23" s="35" t="s">
        <v>79</v>
      </c>
      <c r="D23" s="55" t="s">
        <v>1770</v>
      </c>
      <c r="E23" s="35">
        <v>2019</v>
      </c>
      <c r="F23" s="35">
        <v>1180</v>
      </c>
      <c r="G23" s="35"/>
      <c r="H23" s="67" t="s">
        <v>195</v>
      </c>
      <c r="I23" s="67">
        <v>150</v>
      </c>
      <c r="J23" s="67">
        <v>500</v>
      </c>
      <c r="K23" s="67">
        <v>800</v>
      </c>
      <c r="L23" s="257">
        <v>1180</v>
      </c>
      <c r="M23" s="257"/>
      <c r="N23" s="112" t="s">
        <v>1012</v>
      </c>
      <c r="O23" s="111"/>
      <c r="P23" s="67"/>
      <c r="Q23" s="115" t="s">
        <v>115</v>
      </c>
      <c r="R23" s="115"/>
      <c r="S23" s="115"/>
      <c r="T23" s="115"/>
      <c r="U23" s="115"/>
      <c r="V23" s="115"/>
      <c r="W23" s="115" t="s">
        <v>115</v>
      </c>
      <c r="X23" s="90"/>
      <c r="Y23" s="90" t="s">
        <v>117</v>
      </c>
      <c r="Z23" s="132"/>
      <c r="AA23" s="132"/>
      <c r="AB23" s="132"/>
      <c r="AC23" s="132"/>
      <c r="AD23" s="132"/>
      <c r="AE23" s="132"/>
      <c r="AF23" s="132"/>
      <c r="AG23" s="132"/>
      <c r="AH23" s="132"/>
      <c r="AI23" s="132"/>
      <c r="AJ23" s="132"/>
      <c r="AK23" s="132"/>
      <c r="AL23" s="132"/>
      <c r="AM23" s="132"/>
      <c r="AN23" s="132"/>
      <c r="AO23" s="132"/>
      <c r="AP23" s="132"/>
      <c r="AQ23" s="90"/>
      <c r="AR23" s="112" t="s">
        <v>117</v>
      </c>
      <c r="AS23" s="55" t="s">
        <v>1321</v>
      </c>
      <c r="AT23" s="35" t="s">
        <v>269</v>
      </c>
      <c r="AU23" s="93"/>
      <c r="AV23" s="600"/>
      <c r="AW23" s="840"/>
      <c r="AX23" s="840"/>
      <c r="AY23" s="840"/>
      <c r="AZ23" s="840"/>
      <c r="BA23" s="529"/>
      <c r="BB23" s="600"/>
      <c r="BC23" s="600"/>
      <c r="BD23" s="600"/>
      <c r="BE23" s="529"/>
      <c r="BF23" s="529"/>
      <c r="BG23" s="529"/>
      <c r="BI23" s="600"/>
      <c r="BJ23" s="201"/>
      <c r="BK23" s="201"/>
      <c r="BM23" s="201"/>
      <c r="BN23" s="7"/>
    </row>
    <row r="24" s="9" customFormat="1" ht="69" customHeight="1" spans="1:66">
      <c r="A24" s="23">
        <f>SUBTOTAL(3,C$9:C24)</f>
        <v>14</v>
      </c>
      <c r="B24" s="55" t="s">
        <v>1771</v>
      </c>
      <c r="C24" s="35" t="s">
        <v>562</v>
      </c>
      <c r="D24" s="55" t="s">
        <v>1772</v>
      </c>
      <c r="E24" s="35" t="s">
        <v>1773</v>
      </c>
      <c r="F24" s="36">
        <v>53000</v>
      </c>
      <c r="G24" s="36">
        <v>7200</v>
      </c>
      <c r="H24" s="134"/>
      <c r="I24" s="67">
        <v>100</v>
      </c>
      <c r="J24" s="67">
        <v>500</v>
      </c>
      <c r="K24" s="67">
        <v>800</v>
      </c>
      <c r="L24" s="36">
        <v>2000</v>
      </c>
      <c r="M24" s="134"/>
      <c r="N24" s="123" t="s">
        <v>1774</v>
      </c>
      <c r="O24" s="134"/>
      <c r="P24" s="134"/>
      <c r="Q24" s="134"/>
      <c r="R24" s="134"/>
      <c r="S24" s="134"/>
      <c r="T24" s="134"/>
      <c r="U24" s="134"/>
      <c r="V24" s="134"/>
      <c r="W24" s="134"/>
      <c r="X24" s="674"/>
      <c r="Y24" s="90"/>
      <c r="Z24" s="132"/>
      <c r="AA24" s="132"/>
      <c r="AB24" s="132"/>
      <c r="AC24" s="132"/>
      <c r="AD24" s="132"/>
      <c r="AE24" s="132"/>
      <c r="AF24" s="132"/>
      <c r="AG24" s="132"/>
      <c r="AH24" s="132"/>
      <c r="AI24" s="132"/>
      <c r="AJ24" s="132"/>
      <c r="AK24" s="132"/>
      <c r="AL24" s="132"/>
      <c r="AM24" s="132"/>
      <c r="AN24" s="132"/>
      <c r="AO24" s="132"/>
      <c r="AP24" s="132"/>
      <c r="AQ24" s="90"/>
      <c r="AR24" s="90" t="s">
        <v>1775</v>
      </c>
      <c r="AS24" s="55" t="s">
        <v>1321</v>
      </c>
      <c r="AT24" s="35" t="s">
        <v>269</v>
      </c>
      <c r="AU24" s="93"/>
      <c r="AV24" s="600"/>
      <c r="AW24" s="840"/>
      <c r="AX24" s="840"/>
      <c r="AY24" s="840"/>
      <c r="AZ24" s="840"/>
      <c r="BA24" s="529"/>
      <c r="BB24" s="600"/>
      <c r="BC24" s="600"/>
      <c r="BD24" s="600"/>
      <c r="BE24" s="529"/>
      <c r="BF24" s="529"/>
      <c r="BG24" s="529"/>
      <c r="BI24" s="600"/>
      <c r="BJ24" s="201"/>
      <c r="BK24" s="201"/>
      <c r="BM24" s="201"/>
      <c r="BN24" s="7"/>
    </row>
    <row r="25" s="9" customFormat="1" ht="71.25" customHeight="1" spans="1:66">
      <c r="A25" s="23">
        <f>SUBTOTAL(3,C$9:C25)</f>
        <v>15</v>
      </c>
      <c r="B25" s="55" t="s">
        <v>1776</v>
      </c>
      <c r="C25" s="87" t="s">
        <v>79</v>
      </c>
      <c r="D25" s="55" t="s">
        <v>1777</v>
      </c>
      <c r="E25" s="35" t="s">
        <v>112</v>
      </c>
      <c r="F25" s="36">
        <v>6254</v>
      </c>
      <c r="G25" s="36"/>
      <c r="H25" s="83" t="s">
        <v>122</v>
      </c>
      <c r="I25" s="83"/>
      <c r="J25" s="37">
        <v>120</v>
      </c>
      <c r="K25" s="37">
        <v>600</v>
      </c>
      <c r="L25" s="36">
        <v>1000</v>
      </c>
      <c r="M25" s="36"/>
      <c r="N25" s="112" t="s">
        <v>1778</v>
      </c>
      <c r="O25" s="111"/>
      <c r="P25" s="67"/>
      <c r="Q25" s="134" t="s">
        <v>115</v>
      </c>
      <c r="R25" s="134" t="s">
        <v>115</v>
      </c>
      <c r="S25" s="134" t="s">
        <v>115</v>
      </c>
      <c r="T25" s="115"/>
      <c r="U25" s="115"/>
      <c r="V25" s="115"/>
      <c r="W25" s="115"/>
      <c r="X25" s="90" t="s">
        <v>1779</v>
      </c>
      <c r="Y25" s="90" t="s">
        <v>453</v>
      </c>
      <c r="Z25" s="252">
        <v>79.05</v>
      </c>
      <c r="AA25" s="252">
        <v>79.05</v>
      </c>
      <c r="AB25" s="252"/>
      <c r="AC25" s="252"/>
      <c r="AD25" s="252"/>
      <c r="AE25" s="252"/>
      <c r="AF25" s="252"/>
      <c r="AG25" s="252"/>
      <c r="AH25" s="252"/>
      <c r="AI25" s="252">
        <v>79.05</v>
      </c>
      <c r="AJ25" s="252">
        <v>79.05</v>
      </c>
      <c r="AK25" s="252"/>
      <c r="AL25" s="252"/>
      <c r="AM25" s="252"/>
      <c r="AN25" s="252"/>
      <c r="AO25" s="252"/>
      <c r="AP25" s="252"/>
      <c r="AQ25" s="90"/>
      <c r="AR25" s="112" t="s">
        <v>737</v>
      </c>
      <c r="AS25" s="55" t="s">
        <v>1780</v>
      </c>
      <c r="AT25" s="35" t="s">
        <v>359</v>
      </c>
      <c r="AU25" s="55"/>
      <c r="AV25" s="600"/>
      <c r="AW25" s="840"/>
      <c r="AX25" s="840"/>
      <c r="AY25" s="840"/>
      <c r="AZ25" s="840"/>
      <c r="BA25" s="529"/>
      <c r="BB25" s="600"/>
      <c r="BC25" s="600"/>
      <c r="BD25" s="600"/>
      <c r="BE25" s="529"/>
      <c r="BF25" s="529"/>
      <c r="BG25" s="529"/>
      <c r="BI25" s="600"/>
      <c r="BJ25" s="201"/>
      <c r="BK25" s="201"/>
      <c r="BM25" s="201"/>
      <c r="BN25" s="7"/>
    </row>
    <row r="26" s="9" customFormat="1" ht="80.1" customHeight="1" spans="1:66">
      <c r="A26" s="23">
        <f>SUBTOTAL(3,C$9:C26)</f>
        <v>16</v>
      </c>
      <c r="B26" s="55" t="s">
        <v>1781</v>
      </c>
      <c r="C26" s="35" t="s">
        <v>562</v>
      </c>
      <c r="D26" s="55" t="s">
        <v>1782</v>
      </c>
      <c r="E26" s="35" t="s">
        <v>575</v>
      </c>
      <c r="F26" s="36">
        <v>5419</v>
      </c>
      <c r="G26" s="36">
        <v>600</v>
      </c>
      <c r="H26" s="134"/>
      <c r="I26" s="156">
        <v>500</v>
      </c>
      <c r="J26" s="156">
        <v>1000</v>
      </c>
      <c r="K26" s="156">
        <v>1500</v>
      </c>
      <c r="L26" s="36">
        <v>2000</v>
      </c>
      <c r="M26" s="134"/>
      <c r="N26" s="112" t="s">
        <v>1783</v>
      </c>
      <c r="O26" s="134"/>
      <c r="P26" s="134"/>
      <c r="Q26" s="134"/>
      <c r="R26" s="134"/>
      <c r="S26" s="134"/>
      <c r="T26" s="134"/>
      <c r="U26" s="134"/>
      <c r="V26" s="134"/>
      <c r="W26" s="134"/>
      <c r="X26" s="674"/>
      <c r="Y26" s="90"/>
      <c r="Z26" s="132">
        <v>38.5</v>
      </c>
      <c r="AA26" s="132">
        <v>39</v>
      </c>
      <c r="AB26" s="132"/>
      <c r="AC26" s="132"/>
      <c r="AD26" s="132"/>
      <c r="AE26" s="132"/>
      <c r="AF26" s="132"/>
      <c r="AG26" s="132"/>
      <c r="AH26" s="132"/>
      <c r="AI26" s="132">
        <v>39</v>
      </c>
      <c r="AJ26" s="132">
        <v>39</v>
      </c>
      <c r="AK26" s="132"/>
      <c r="AL26" s="132"/>
      <c r="AM26" s="132"/>
      <c r="AN26" s="132"/>
      <c r="AO26" s="132"/>
      <c r="AP26" s="132"/>
      <c r="AQ26" s="90"/>
      <c r="AR26" s="90" t="s">
        <v>117</v>
      </c>
      <c r="AS26" s="55" t="s">
        <v>1780</v>
      </c>
      <c r="AT26" s="35" t="s">
        <v>359</v>
      </c>
      <c r="AU26" s="93"/>
      <c r="AV26" s="600"/>
      <c r="AW26" s="840"/>
      <c r="AX26" s="840"/>
      <c r="AY26" s="840"/>
      <c r="AZ26" s="840"/>
      <c r="BA26" s="529"/>
      <c r="BB26" s="600"/>
      <c r="BC26" s="600"/>
      <c r="BD26" s="600"/>
      <c r="BE26" s="529"/>
      <c r="BF26" s="529"/>
      <c r="BG26" s="529"/>
      <c r="BI26" s="600"/>
      <c r="BJ26" s="201"/>
      <c r="BK26" s="201"/>
      <c r="BM26" s="201"/>
      <c r="BN26" s="7"/>
    </row>
    <row r="27" s="9" customFormat="1" ht="80.1" customHeight="1" spans="1:66">
      <c r="A27" s="23">
        <f>SUBTOTAL(3,C$9:C27)</f>
        <v>17</v>
      </c>
      <c r="B27" s="55" t="s">
        <v>1784</v>
      </c>
      <c r="C27" s="35" t="s">
        <v>79</v>
      </c>
      <c r="D27" s="55" t="s">
        <v>1785</v>
      </c>
      <c r="E27" s="35" t="s">
        <v>112</v>
      </c>
      <c r="F27" s="36">
        <v>12237.77</v>
      </c>
      <c r="G27" s="36"/>
      <c r="H27" s="81" t="s">
        <v>195</v>
      </c>
      <c r="I27" s="37">
        <v>1500</v>
      </c>
      <c r="J27" s="37">
        <v>2500</v>
      </c>
      <c r="K27" s="37">
        <v>3500</v>
      </c>
      <c r="L27" s="35">
        <v>4000</v>
      </c>
      <c r="M27" s="35"/>
      <c r="N27" s="34" t="s">
        <v>1786</v>
      </c>
      <c r="O27" s="127"/>
      <c r="P27" s="78"/>
      <c r="Q27" s="809" t="s">
        <v>115</v>
      </c>
      <c r="R27" s="809" t="s">
        <v>115</v>
      </c>
      <c r="S27" s="832"/>
      <c r="T27" s="832"/>
      <c r="U27" s="832"/>
      <c r="V27" s="832"/>
      <c r="W27" s="832"/>
      <c r="X27" s="55" t="s">
        <v>1787</v>
      </c>
      <c r="Y27" s="55" t="s">
        <v>1788</v>
      </c>
      <c r="Z27" s="132">
        <v>51</v>
      </c>
      <c r="AA27" s="132">
        <v>51</v>
      </c>
      <c r="AB27" s="132"/>
      <c r="AC27" s="132"/>
      <c r="AD27" s="132"/>
      <c r="AE27" s="132"/>
      <c r="AF27" s="132"/>
      <c r="AG27" s="132"/>
      <c r="AH27" s="132"/>
      <c r="AI27" s="132">
        <v>1.26</v>
      </c>
      <c r="AJ27" s="132"/>
      <c r="AK27" s="132">
        <v>1.26</v>
      </c>
      <c r="AL27" s="132"/>
      <c r="AM27" s="132"/>
      <c r="AN27" s="132"/>
      <c r="AO27" s="132"/>
      <c r="AP27" s="132"/>
      <c r="AQ27" s="90"/>
      <c r="AR27" s="34" t="s">
        <v>1789</v>
      </c>
      <c r="AS27" s="55" t="s">
        <v>1790</v>
      </c>
      <c r="AT27" s="35" t="s">
        <v>375</v>
      </c>
      <c r="AU27" s="93"/>
      <c r="AV27" s="600"/>
      <c r="AW27" s="840"/>
      <c r="AX27" s="840"/>
      <c r="AY27" s="840"/>
      <c r="AZ27" s="840"/>
      <c r="BA27" s="529"/>
      <c r="BB27" s="600"/>
      <c r="BC27" s="600"/>
      <c r="BD27" s="600"/>
      <c r="BE27" s="529"/>
      <c r="BF27" s="529"/>
      <c r="BG27" s="529"/>
      <c r="BI27" s="600"/>
      <c r="BJ27" s="201"/>
      <c r="BK27" s="201"/>
      <c r="BM27" s="201"/>
      <c r="BN27" s="7"/>
    </row>
    <row r="28" s="9" customFormat="1" ht="80.1" customHeight="1" spans="1:66">
      <c r="A28" s="23">
        <f>SUBTOTAL(3,C$9:C28)</f>
        <v>18</v>
      </c>
      <c r="B28" s="55" t="s">
        <v>1791</v>
      </c>
      <c r="C28" s="35" t="s">
        <v>79</v>
      </c>
      <c r="D28" s="55" t="s">
        <v>1792</v>
      </c>
      <c r="E28" s="35" t="s">
        <v>112</v>
      </c>
      <c r="F28" s="36">
        <v>6100</v>
      </c>
      <c r="G28" s="36"/>
      <c r="H28" s="81" t="s">
        <v>82</v>
      </c>
      <c r="I28" s="81"/>
      <c r="J28" s="81"/>
      <c r="K28" s="81"/>
      <c r="L28" s="35">
        <v>1000</v>
      </c>
      <c r="M28" s="35"/>
      <c r="N28" s="34" t="s">
        <v>1786</v>
      </c>
      <c r="O28" s="127"/>
      <c r="P28" s="78"/>
      <c r="Q28" s="809" t="s">
        <v>115</v>
      </c>
      <c r="R28" s="809" t="s">
        <v>115</v>
      </c>
      <c r="S28" s="832"/>
      <c r="T28" s="832"/>
      <c r="U28" s="832"/>
      <c r="V28" s="832"/>
      <c r="W28" s="832"/>
      <c r="X28" s="55"/>
      <c r="Y28" s="55"/>
      <c r="Z28" s="132">
        <v>51</v>
      </c>
      <c r="AA28" s="132">
        <v>51</v>
      </c>
      <c r="AB28" s="132"/>
      <c r="AC28" s="132"/>
      <c r="AD28" s="132"/>
      <c r="AE28" s="132"/>
      <c r="AF28" s="132"/>
      <c r="AG28" s="132"/>
      <c r="AH28" s="132"/>
      <c r="AI28" s="132"/>
      <c r="AJ28" s="132"/>
      <c r="AK28" s="132"/>
      <c r="AL28" s="132"/>
      <c r="AM28" s="132"/>
      <c r="AN28" s="132"/>
      <c r="AO28" s="132"/>
      <c r="AP28" s="132"/>
      <c r="AQ28" s="90"/>
      <c r="AR28" s="34" t="s">
        <v>1793</v>
      </c>
      <c r="AS28" s="55" t="s">
        <v>1790</v>
      </c>
      <c r="AT28" s="35" t="s">
        <v>375</v>
      </c>
      <c r="AU28" s="93"/>
      <c r="AV28" s="600"/>
      <c r="AW28" s="840"/>
      <c r="AX28" s="840"/>
      <c r="AY28" s="840"/>
      <c r="AZ28" s="840"/>
      <c r="BA28" s="529"/>
      <c r="BB28" s="600"/>
      <c r="BC28" s="600"/>
      <c r="BD28" s="600"/>
      <c r="BE28" s="529"/>
      <c r="BF28" s="529"/>
      <c r="BG28" s="529"/>
      <c r="BI28" s="600"/>
      <c r="BJ28" s="201"/>
      <c r="BK28" s="201"/>
      <c r="BM28" s="201"/>
      <c r="BN28" s="7"/>
    </row>
    <row r="29" s="9" customFormat="1" ht="80.1" customHeight="1" spans="1:66">
      <c r="A29" s="23">
        <f>SUBTOTAL(3,C$9:C29)</f>
        <v>19</v>
      </c>
      <c r="B29" s="55" t="s">
        <v>1794</v>
      </c>
      <c r="C29" s="35" t="s">
        <v>79</v>
      </c>
      <c r="D29" s="55" t="s">
        <v>1795</v>
      </c>
      <c r="E29" s="35" t="s">
        <v>112</v>
      </c>
      <c r="F29" s="36">
        <v>1350</v>
      </c>
      <c r="G29" s="36"/>
      <c r="H29" s="81" t="s">
        <v>195</v>
      </c>
      <c r="I29" s="81"/>
      <c r="J29" s="37">
        <v>100</v>
      </c>
      <c r="K29" s="37">
        <v>350</v>
      </c>
      <c r="L29" s="35">
        <v>600</v>
      </c>
      <c r="M29" s="35"/>
      <c r="N29" s="34" t="s">
        <v>1786</v>
      </c>
      <c r="O29" s="127"/>
      <c r="P29" s="78"/>
      <c r="Q29" s="809" t="s">
        <v>115</v>
      </c>
      <c r="R29" s="809" t="s">
        <v>115</v>
      </c>
      <c r="S29" s="832"/>
      <c r="T29" s="832"/>
      <c r="U29" s="832"/>
      <c r="V29" s="832"/>
      <c r="W29" s="832"/>
      <c r="X29" s="55"/>
      <c r="Y29" s="55"/>
      <c r="Z29" s="132"/>
      <c r="AA29" s="132"/>
      <c r="AB29" s="132">
        <v>7.5</v>
      </c>
      <c r="AC29" s="132"/>
      <c r="AD29" s="132"/>
      <c r="AE29" s="132"/>
      <c r="AF29" s="132"/>
      <c r="AG29" s="132"/>
      <c r="AH29" s="132"/>
      <c r="AI29" s="132"/>
      <c r="AJ29" s="132"/>
      <c r="AK29" s="132"/>
      <c r="AL29" s="132"/>
      <c r="AM29" s="132"/>
      <c r="AN29" s="132"/>
      <c r="AO29" s="132"/>
      <c r="AP29" s="132"/>
      <c r="AQ29" s="90"/>
      <c r="AR29" s="34" t="s">
        <v>1796</v>
      </c>
      <c r="AS29" s="55" t="s">
        <v>807</v>
      </c>
      <c r="AT29" s="35" t="s">
        <v>375</v>
      </c>
      <c r="AU29" s="93"/>
      <c r="AV29" s="600"/>
      <c r="AW29" s="840"/>
      <c r="AX29" s="840"/>
      <c r="AY29" s="840"/>
      <c r="AZ29" s="840"/>
      <c r="BA29" s="529"/>
      <c r="BB29" s="600"/>
      <c r="BC29" s="600"/>
      <c r="BD29" s="600"/>
      <c r="BE29" s="529"/>
      <c r="BF29" s="529"/>
      <c r="BG29" s="529"/>
      <c r="BI29" s="600"/>
      <c r="BJ29" s="201"/>
      <c r="BK29" s="201"/>
      <c r="BM29" s="201"/>
      <c r="BN29" s="7"/>
    </row>
    <row r="30" s="9" customFormat="1" ht="69.95" customHeight="1" spans="1:66">
      <c r="A30" s="23">
        <f>SUBTOTAL(3,C$9:C30)</f>
        <v>20</v>
      </c>
      <c r="B30" s="60" t="s">
        <v>1797</v>
      </c>
      <c r="C30" s="35" t="s">
        <v>562</v>
      </c>
      <c r="D30" s="55" t="s">
        <v>1798</v>
      </c>
      <c r="E30" s="35" t="s">
        <v>575</v>
      </c>
      <c r="F30" s="36">
        <v>26216.6</v>
      </c>
      <c r="G30" s="67">
        <v>850</v>
      </c>
      <c r="H30" s="134"/>
      <c r="I30" s="67">
        <v>1200</v>
      </c>
      <c r="J30" s="67">
        <v>3000</v>
      </c>
      <c r="K30" s="67">
        <v>4500</v>
      </c>
      <c r="L30" s="67">
        <v>6000</v>
      </c>
      <c r="M30" s="134"/>
      <c r="N30" s="123" t="s">
        <v>1799</v>
      </c>
      <c r="O30" s="134"/>
      <c r="P30" s="134"/>
      <c r="Q30" s="134"/>
      <c r="R30" s="134"/>
      <c r="S30" s="134"/>
      <c r="T30" s="134"/>
      <c r="U30" s="134"/>
      <c r="V30" s="134"/>
      <c r="W30" s="134"/>
      <c r="X30" s="674"/>
      <c r="Y30" s="90"/>
      <c r="Z30" s="330">
        <v>157</v>
      </c>
      <c r="AA30" s="330">
        <v>157</v>
      </c>
      <c r="AB30" s="330"/>
      <c r="AC30" s="132"/>
      <c r="AD30" s="132"/>
      <c r="AE30" s="132"/>
      <c r="AF30" s="132"/>
      <c r="AG30" s="132"/>
      <c r="AH30" s="132"/>
      <c r="AI30" s="132"/>
      <c r="AJ30" s="132"/>
      <c r="AK30" s="132"/>
      <c r="AL30" s="132"/>
      <c r="AM30" s="132"/>
      <c r="AN30" s="132"/>
      <c r="AO30" s="132"/>
      <c r="AP30" s="132"/>
      <c r="AQ30" s="90"/>
      <c r="AR30" s="90" t="s">
        <v>1800</v>
      </c>
      <c r="AS30" s="55" t="s">
        <v>807</v>
      </c>
      <c r="AT30" s="35" t="s">
        <v>375</v>
      </c>
      <c r="AU30" s="93"/>
      <c r="AV30" s="600"/>
      <c r="AW30" s="840"/>
      <c r="AX30" s="840"/>
      <c r="AY30" s="840"/>
      <c r="AZ30" s="840"/>
      <c r="BA30" s="529"/>
      <c r="BB30" s="600"/>
      <c r="BC30" s="600"/>
      <c r="BD30" s="600"/>
      <c r="BE30" s="529"/>
      <c r="BF30" s="529"/>
      <c r="BG30" s="529"/>
      <c r="BI30" s="600"/>
      <c r="BJ30" s="201"/>
      <c r="BK30" s="201"/>
      <c r="BM30" s="201"/>
      <c r="BN30" s="7"/>
    </row>
    <row r="31" s="9" customFormat="1" ht="61.5" customHeight="1" spans="1:66">
      <c r="A31" s="23">
        <f>SUBTOTAL(3,C$9:C31)</f>
        <v>21</v>
      </c>
      <c r="B31" s="55" t="s">
        <v>1801</v>
      </c>
      <c r="C31" s="35" t="s">
        <v>562</v>
      </c>
      <c r="D31" s="55" t="s">
        <v>1802</v>
      </c>
      <c r="E31" s="35" t="s">
        <v>575</v>
      </c>
      <c r="F31" s="35">
        <v>11740</v>
      </c>
      <c r="G31" s="67">
        <v>5000</v>
      </c>
      <c r="H31" s="134"/>
      <c r="I31" s="67">
        <v>450</v>
      </c>
      <c r="J31" s="67">
        <v>1000</v>
      </c>
      <c r="K31" s="67">
        <v>1800</v>
      </c>
      <c r="L31" s="35">
        <v>4000</v>
      </c>
      <c r="M31" s="134"/>
      <c r="N31" s="123" t="s">
        <v>1803</v>
      </c>
      <c r="O31" s="134"/>
      <c r="P31" s="134"/>
      <c r="Q31" s="134"/>
      <c r="R31" s="134"/>
      <c r="S31" s="134"/>
      <c r="T31" s="134"/>
      <c r="U31" s="134"/>
      <c r="V31" s="134"/>
      <c r="W31" s="134"/>
      <c r="X31" s="674"/>
      <c r="Y31" s="90"/>
      <c r="Z31" s="132">
        <v>65</v>
      </c>
      <c r="AA31" s="132"/>
      <c r="AB31" s="132">
        <v>65</v>
      </c>
      <c r="AC31" s="132"/>
      <c r="AD31" s="132"/>
      <c r="AE31" s="132"/>
      <c r="AF31" s="132"/>
      <c r="AG31" s="132"/>
      <c r="AH31" s="132"/>
      <c r="AI31" s="132"/>
      <c r="AJ31" s="132"/>
      <c r="AK31" s="132"/>
      <c r="AL31" s="132"/>
      <c r="AM31" s="132"/>
      <c r="AN31" s="132"/>
      <c r="AO31" s="132"/>
      <c r="AP31" s="132"/>
      <c r="AQ31" s="90"/>
      <c r="AR31" s="90" t="s">
        <v>806</v>
      </c>
      <c r="AS31" s="55" t="s">
        <v>807</v>
      </c>
      <c r="AT31" s="35" t="s">
        <v>375</v>
      </c>
      <c r="AU31" s="93"/>
      <c r="AV31" s="600"/>
      <c r="AW31" s="840"/>
      <c r="AX31" s="840"/>
      <c r="AY31" s="840"/>
      <c r="AZ31" s="840"/>
      <c r="BA31" s="529"/>
      <c r="BB31" s="600"/>
      <c r="BC31" s="600"/>
      <c r="BD31" s="600"/>
      <c r="BE31" s="529"/>
      <c r="BF31" s="529"/>
      <c r="BG31" s="529"/>
      <c r="BI31" s="600"/>
      <c r="BJ31" s="201"/>
      <c r="BK31" s="201"/>
      <c r="BM31" s="201"/>
      <c r="BN31" s="7"/>
    </row>
    <row r="32" s="9" customFormat="1" ht="80.1" customHeight="1" spans="1:66">
      <c r="A32" s="23">
        <f>SUBTOTAL(3,C$9:C32)</f>
        <v>22</v>
      </c>
      <c r="B32" s="55" t="s">
        <v>1804</v>
      </c>
      <c r="C32" s="35" t="s">
        <v>810</v>
      </c>
      <c r="D32" s="58" t="s">
        <v>1805</v>
      </c>
      <c r="E32" s="35" t="s">
        <v>812</v>
      </c>
      <c r="F32" s="35">
        <v>97475</v>
      </c>
      <c r="G32" s="67">
        <v>56214</v>
      </c>
      <c r="H32" s="83" t="s">
        <v>177</v>
      </c>
      <c r="I32" s="578">
        <v>8000</v>
      </c>
      <c r="J32" s="578">
        <v>20000</v>
      </c>
      <c r="K32" s="578">
        <v>33000</v>
      </c>
      <c r="L32" s="637">
        <v>41261</v>
      </c>
      <c r="M32" s="134"/>
      <c r="N32" s="123" t="s">
        <v>971</v>
      </c>
      <c r="O32" s="134"/>
      <c r="P32" s="134"/>
      <c r="Q32" s="134"/>
      <c r="R32" s="134"/>
      <c r="S32" s="134"/>
      <c r="T32" s="134"/>
      <c r="U32" s="134"/>
      <c r="V32" s="134"/>
      <c r="W32" s="134"/>
      <c r="X32" s="674"/>
      <c r="Y32" s="90"/>
      <c r="Z32" s="132"/>
      <c r="AA32" s="132"/>
      <c r="AB32" s="132"/>
      <c r="AC32" s="132"/>
      <c r="AD32" s="132"/>
      <c r="AE32" s="132"/>
      <c r="AF32" s="132"/>
      <c r="AG32" s="132"/>
      <c r="AH32" s="132"/>
      <c r="AI32" s="132"/>
      <c r="AJ32" s="132"/>
      <c r="AK32" s="132"/>
      <c r="AL32" s="132"/>
      <c r="AM32" s="132"/>
      <c r="AN32" s="132"/>
      <c r="AO32" s="132"/>
      <c r="AP32" s="132"/>
      <c r="AQ32" s="90"/>
      <c r="AR32" s="90" t="s">
        <v>806</v>
      </c>
      <c r="AS32" s="54" t="s">
        <v>1790</v>
      </c>
      <c r="AT32" s="67" t="s">
        <v>375</v>
      </c>
      <c r="AU32" s="93"/>
      <c r="AV32" s="600"/>
      <c r="AW32" s="840"/>
      <c r="AX32" s="840"/>
      <c r="AY32" s="840"/>
      <c r="AZ32" s="840"/>
      <c r="BA32" s="529"/>
      <c r="BB32" s="600"/>
      <c r="BC32" s="600"/>
      <c r="BD32" s="600"/>
      <c r="BE32" s="529"/>
      <c r="BF32" s="529"/>
      <c r="BG32" s="529"/>
      <c r="BI32" s="600"/>
      <c r="BJ32" s="201"/>
      <c r="BK32" s="201"/>
      <c r="BM32" s="201"/>
      <c r="BN32" s="7"/>
    </row>
    <row r="33" s="9" customFormat="1" ht="32.25" customHeight="1" spans="1:66">
      <c r="A33" s="551" t="s">
        <v>412</v>
      </c>
      <c r="B33" s="557" t="str">
        <f>"卫生（"&amp;SUBTOTAL(3,C34:C35)&amp;"个）"</f>
        <v>卫生（2个）</v>
      </c>
      <c r="C33" s="557"/>
      <c r="D33" s="557"/>
      <c r="E33" s="35"/>
      <c r="F33" s="134">
        <f t="shared" ref="F33:M33" si="8">SUBTOTAL(9,F34:F35)</f>
        <v>5600</v>
      </c>
      <c r="G33" s="134">
        <f t="shared" si="8"/>
        <v>1200</v>
      </c>
      <c r="H33" s="134"/>
      <c r="I33" s="134">
        <f t="shared" si="8"/>
        <v>300</v>
      </c>
      <c r="J33" s="134">
        <f t="shared" si="8"/>
        <v>900</v>
      </c>
      <c r="K33" s="134">
        <f t="shared" si="8"/>
        <v>1500</v>
      </c>
      <c r="L33" s="134">
        <f t="shared" si="8"/>
        <v>2300</v>
      </c>
      <c r="M33" s="134">
        <f t="shared" si="8"/>
        <v>0</v>
      </c>
      <c r="N33" s="123"/>
      <c r="O33" s="134"/>
      <c r="P33" s="134"/>
      <c r="Q33" s="134"/>
      <c r="R33" s="134"/>
      <c r="S33" s="134"/>
      <c r="T33" s="134"/>
      <c r="U33" s="134"/>
      <c r="V33" s="134"/>
      <c r="W33" s="134"/>
      <c r="X33" s="674"/>
      <c r="Y33" s="90"/>
      <c r="Z33" s="134">
        <f t="shared" ref="Z33:AP33" si="9">SUBTOTAL(9,Z34:Z34)</f>
        <v>0</v>
      </c>
      <c r="AA33" s="134">
        <f t="shared" si="9"/>
        <v>0</v>
      </c>
      <c r="AB33" s="134">
        <f t="shared" si="9"/>
        <v>0</v>
      </c>
      <c r="AC33" s="134">
        <f t="shared" si="9"/>
        <v>0</v>
      </c>
      <c r="AD33" s="134">
        <f t="shared" si="9"/>
        <v>0</v>
      </c>
      <c r="AE33" s="134">
        <f t="shared" si="9"/>
        <v>0</v>
      </c>
      <c r="AF33" s="134">
        <f t="shared" si="9"/>
        <v>0</v>
      </c>
      <c r="AG33" s="134">
        <f t="shared" si="9"/>
        <v>0</v>
      </c>
      <c r="AH33" s="134">
        <f t="shared" si="9"/>
        <v>0</v>
      </c>
      <c r="AI33" s="134">
        <f t="shared" si="9"/>
        <v>0</v>
      </c>
      <c r="AJ33" s="134">
        <f t="shared" si="9"/>
        <v>0</v>
      </c>
      <c r="AK33" s="134">
        <f t="shared" si="9"/>
        <v>0</v>
      </c>
      <c r="AL33" s="134">
        <f t="shared" si="9"/>
        <v>0</v>
      </c>
      <c r="AM33" s="134">
        <f t="shared" si="9"/>
        <v>0</v>
      </c>
      <c r="AN33" s="134">
        <f t="shared" si="9"/>
        <v>0</v>
      </c>
      <c r="AO33" s="134">
        <f t="shared" si="9"/>
        <v>0</v>
      </c>
      <c r="AP33" s="134">
        <f t="shared" si="9"/>
        <v>0</v>
      </c>
      <c r="AQ33" s="90"/>
      <c r="AR33" s="90"/>
      <c r="AS33" s="55"/>
      <c r="AT33" s="35"/>
      <c r="AU33" s="93"/>
      <c r="AV33" s="600"/>
      <c r="AW33" s="840"/>
      <c r="AX33" s="840"/>
      <c r="AY33" s="840"/>
      <c r="AZ33" s="840"/>
      <c r="BA33" s="529"/>
      <c r="BB33" s="600"/>
      <c r="BC33" s="600"/>
      <c r="BD33" s="600"/>
      <c r="BE33" s="529"/>
      <c r="BF33" s="529"/>
      <c r="BG33" s="529"/>
      <c r="BI33" s="600"/>
      <c r="BJ33" s="201"/>
      <c r="BK33" s="201"/>
      <c r="BM33" s="201"/>
      <c r="BN33" s="7"/>
    </row>
    <row r="34" s="9" customFormat="1" ht="68.25" customHeight="1" spans="1:66">
      <c r="A34" s="23">
        <f>SUBTOTAL(3,C$9:C34)</f>
        <v>23</v>
      </c>
      <c r="B34" s="55" t="s">
        <v>1806</v>
      </c>
      <c r="C34" s="35" t="s">
        <v>810</v>
      </c>
      <c r="D34" s="34" t="s">
        <v>1807</v>
      </c>
      <c r="E34" s="35" t="s">
        <v>812</v>
      </c>
      <c r="F34" s="36">
        <v>3000</v>
      </c>
      <c r="G34" s="36">
        <v>1200</v>
      </c>
      <c r="H34" s="81" t="s">
        <v>131</v>
      </c>
      <c r="I34" s="37">
        <v>300</v>
      </c>
      <c r="J34" s="37">
        <v>900</v>
      </c>
      <c r="K34" s="37">
        <v>1500</v>
      </c>
      <c r="L34" s="35">
        <v>1800</v>
      </c>
      <c r="M34" s="134"/>
      <c r="N34" s="123" t="s">
        <v>971</v>
      </c>
      <c r="O34" s="134"/>
      <c r="P34" s="134"/>
      <c r="Q34" s="134"/>
      <c r="R34" s="134"/>
      <c r="S34" s="134"/>
      <c r="T34" s="134"/>
      <c r="U34" s="134"/>
      <c r="V34" s="134"/>
      <c r="W34" s="134"/>
      <c r="X34" s="674"/>
      <c r="Y34" s="90"/>
      <c r="Z34" s="132"/>
      <c r="AA34" s="132"/>
      <c r="AB34" s="132"/>
      <c r="AC34" s="132"/>
      <c r="AD34" s="132"/>
      <c r="AE34" s="132"/>
      <c r="AF34" s="132"/>
      <c r="AG34" s="132"/>
      <c r="AH34" s="132"/>
      <c r="AI34" s="132"/>
      <c r="AJ34" s="132"/>
      <c r="AK34" s="132"/>
      <c r="AL34" s="132"/>
      <c r="AM34" s="132"/>
      <c r="AN34" s="132"/>
      <c r="AO34" s="132"/>
      <c r="AP34" s="132"/>
      <c r="AQ34" s="90"/>
      <c r="AR34" s="112" t="s">
        <v>117</v>
      </c>
      <c r="AS34" s="55" t="s">
        <v>1806</v>
      </c>
      <c r="AT34" s="35" t="s">
        <v>269</v>
      </c>
      <c r="AU34" s="93"/>
      <c r="AV34" s="600"/>
      <c r="AW34" s="840"/>
      <c r="AX34" s="840"/>
      <c r="AY34" s="840"/>
      <c r="AZ34" s="840"/>
      <c r="BA34" s="529"/>
      <c r="BB34" s="600"/>
      <c r="BC34" s="600"/>
      <c r="BD34" s="600"/>
      <c r="BE34" s="529"/>
      <c r="BF34" s="529"/>
      <c r="BG34" s="529"/>
      <c r="BI34" s="600"/>
      <c r="BJ34" s="201"/>
      <c r="BK34" s="201"/>
      <c r="BM34" s="201"/>
      <c r="BN34" s="7"/>
    </row>
    <row r="35" s="9" customFormat="1" ht="74.25" customHeight="1" spans="1:66">
      <c r="A35" s="23">
        <f>SUBTOTAL(3,C$9:C35)</f>
        <v>24</v>
      </c>
      <c r="B35" s="60" t="s">
        <v>1808</v>
      </c>
      <c r="C35" s="23" t="s">
        <v>79</v>
      </c>
      <c r="D35" s="88" t="s">
        <v>1809</v>
      </c>
      <c r="E35" s="23" t="s">
        <v>143</v>
      </c>
      <c r="F35" s="67">
        <v>2600</v>
      </c>
      <c r="G35" s="67"/>
      <c r="H35" s="67" t="s">
        <v>82</v>
      </c>
      <c r="I35" s="67"/>
      <c r="J35" s="67"/>
      <c r="K35" s="67"/>
      <c r="L35" s="67">
        <v>500</v>
      </c>
      <c r="M35" s="67"/>
      <c r="N35" s="123" t="s">
        <v>1810</v>
      </c>
      <c r="O35" s="134"/>
      <c r="P35" s="134"/>
      <c r="Q35" s="134"/>
      <c r="R35" s="134"/>
      <c r="S35" s="134"/>
      <c r="T35" s="134"/>
      <c r="U35" s="134"/>
      <c r="V35" s="134"/>
      <c r="W35" s="134"/>
      <c r="X35" s="674"/>
      <c r="Y35" s="90"/>
      <c r="Z35" s="132"/>
      <c r="AA35" s="132"/>
      <c r="AB35" s="132"/>
      <c r="AC35" s="132"/>
      <c r="AD35" s="132"/>
      <c r="AE35" s="132"/>
      <c r="AF35" s="132"/>
      <c r="AG35" s="132"/>
      <c r="AH35" s="132"/>
      <c r="AI35" s="132"/>
      <c r="AJ35" s="132"/>
      <c r="AK35" s="132"/>
      <c r="AL35" s="132"/>
      <c r="AM35" s="132"/>
      <c r="AN35" s="132"/>
      <c r="AO35" s="132"/>
      <c r="AP35" s="132"/>
      <c r="AQ35" s="90"/>
      <c r="AR35" s="112" t="s">
        <v>737</v>
      </c>
      <c r="AS35" s="55" t="s">
        <v>1811</v>
      </c>
      <c r="AT35" s="35" t="s">
        <v>359</v>
      </c>
      <c r="AU35" s="93"/>
      <c r="AV35" s="600"/>
      <c r="AW35" s="840"/>
      <c r="AX35" s="840"/>
      <c r="AY35" s="840"/>
      <c r="AZ35" s="840"/>
      <c r="BA35" s="529"/>
      <c r="BB35" s="600"/>
      <c r="BC35" s="600"/>
      <c r="BD35" s="600"/>
      <c r="BE35" s="529"/>
      <c r="BF35" s="529"/>
      <c r="BG35" s="529"/>
      <c r="BI35" s="600"/>
      <c r="BJ35" s="201"/>
      <c r="BK35" s="201"/>
      <c r="BM35" s="201"/>
      <c r="BN35" s="7"/>
    </row>
    <row r="36" s="9" customFormat="1" ht="31.5" customHeight="1" spans="1:66">
      <c r="A36" s="551" t="s">
        <v>448</v>
      </c>
      <c r="B36" s="557" t="str">
        <f>"文化（"&amp;SUBTOTAL(3,C37:C37)&amp;"个）"</f>
        <v>文化（1个）</v>
      </c>
      <c r="C36" s="557"/>
      <c r="D36" s="557"/>
      <c r="E36" s="35"/>
      <c r="F36" s="134">
        <f t="shared" ref="F36:L36" si="10">SUBTOTAL(9,F37:F37)</f>
        <v>5000</v>
      </c>
      <c r="G36" s="134">
        <f t="shared" si="10"/>
        <v>0</v>
      </c>
      <c r="H36" s="134"/>
      <c r="I36" s="134">
        <f t="shared" si="10"/>
        <v>0</v>
      </c>
      <c r="J36" s="134">
        <f t="shared" si="10"/>
        <v>500</v>
      </c>
      <c r="K36" s="134">
        <f t="shared" si="10"/>
        <v>1800</v>
      </c>
      <c r="L36" s="134">
        <f t="shared" si="10"/>
        <v>3000</v>
      </c>
      <c r="M36" s="134"/>
      <c r="N36" s="123"/>
      <c r="O36" s="134"/>
      <c r="P36" s="134"/>
      <c r="Q36" s="134"/>
      <c r="R36" s="134"/>
      <c r="S36" s="134"/>
      <c r="T36" s="134"/>
      <c r="U36" s="134"/>
      <c r="V36" s="134"/>
      <c r="W36" s="134"/>
      <c r="X36" s="674"/>
      <c r="Y36" s="90"/>
      <c r="Z36" s="134">
        <f t="shared" ref="Z36:AP36" si="11">SUBTOTAL(9,Z37:Z37)</f>
        <v>130</v>
      </c>
      <c r="AA36" s="134">
        <f t="shared" si="11"/>
        <v>0</v>
      </c>
      <c r="AB36" s="134">
        <f t="shared" si="11"/>
        <v>130</v>
      </c>
      <c r="AC36" s="134">
        <f t="shared" si="11"/>
        <v>0</v>
      </c>
      <c r="AD36" s="134">
        <f t="shared" si="11"/>
        <v>0</v>
      </c>
      <c r="AE36" s="134">
        <f t="shared" si="11"/>
        <v>0</v>
      </c>
      <c r="AF36" s="134">
        <f t="shared" si="11"/>
        <v>0</v>
      </c>
      <c r="AG36" s="134">
        <f t="shared" si="11"/>
        <v>0</v>
      </c>
      <c r="AH36" s="134">
        <f t="shared" si="11"/>
        <v>0</v>
      </c>
      <c r="AI36" s="134">
        <f t="shared" si="11"/>
        <v>87</v>
      </c>
      <c r="AJ36" s="134">
        <f t="shared" si="11"/>
        <v>51</v>
      </c>
      <c r="AK36" s="134">
        <f t="shared" si="11"/>
        <v>36</v>
      </c>
      <c r="AL36" s="134">
        <f t="shared" si="11"/>
        <v>0</v>
      </c>
      <c r="AM36" s="134">
        <f t="shared" si="11"/>
        <v>0</v>
      </c>
      <c r="AN36" s="134">
        <f t="shared" si="11"/>
        <v>0</v>
      </c>
      <c r="AO36" s="134">
        <f t="shared" si="11"/>
        <v>0</v>
      </c>
      <c r="AP36" s="134">
        <f t="shared" si="11"/>
        <v>0</v>
      </c>
      <c r="AQ36" s="90"/>
      <c r="AR36" s="90"/>
      <c r="AS36" s="55"/>
      <c r="AT36" s="35"/>
      <c r="AU36" s="93"/>
      <c r="AV36" s="600"/>
      <c r="AW36" s="840"/>
      <c r="AX36" s="840"/>
      <c r="AY36" s="840"/>
      <c r="AZ36" s="840"/>
      <c r="BA36" s="529"/>
      <c r="BB36" s="600"/>
      <c r="BC36" s="600"/>
      <c r="BD36" s="600"/>
      <c r="BE36" s="529"/>
      <c r="BF36" s="529"/>
      <c r="BG36" s="529"/>
      <c r="BI36" s="600"/>
      <c r="BJ36" s="201"/>
      <c r="BK36" s="201"/>
      <c r="BM36" s="201"/>
      <c r="BN36" s="7"/>
    </row>
    <row r="37" s="9" customFormat="1" ht="66.75" customHeight="1" spans="1:66">
      <c r="A37" s="23">
        <f>SUBTOTAL(3,C$9:C37)</f>
        <v>25</v>
      </c>
      <c r="B37" s="55" t="s">
        <v>1812</v>
      </c>
      <c r="C37" s="35" t="s">
        <v>79</v>
      </c>
      <c r="D37" s="55" t="s">
        <v>1813</v>
      </c>
      <c r="E37" s="35" t="s">
        <v>112</v>
      </c>
      <c r="F37" s="36">
        <v>5000</v>
      </c>
      <c r="G37" s="36"/>
      <c r="H37" s="67" t="s">
        <v>144</v>
      </c>
      <c r="I37" s="37"/>
      <c r="J37" s="67">
        <v>500</v>
      </c>
      <c r="K37" s="67">
        <v>1800</v>
      </c>
      <c r="L37" s="257">
        <v>3000</v>
      </c>
      <c r="M37" s="257"/>
      <c r="N37" s="58" t="s">
        <v>1724</v>
      </c>
      <c r="O37" s="134"/>
      <c r="P37" s="134"/>
      <c r="Q37" s="134"/>
      <c r="R37" s="134"/>
      <c r="S37" s="134"/>
      <c r="T37" s="134"/>
      <c r="U37" s="134"/>
      <c r="V37" s="134"/>
      <c r="W37" s="134"/>
      <c r="X37" s="674"/>
      <c r="Y37" s="90"/>
      <c r="Z37" s="132">
        <v>130</v>
      </c>
      <c r="AA37" s="132"/>
      <c r="AB37" s="132">
        <v>130</v>
      </c>
      <c r="AC37" s="132"/>
      <c r="AD37" s="132"/>
      <c r="AE37" s="132"/>
      <c r="AF37" s="132"/>
      <c r="AG37" s="132"/>
      <c r="AH37" s="132"/>
      <c r="AI37" s="132">
        <v>87</v>
      </c>
      <c r="AJ37" s="132">
        <v>51</v>
      </c>
      <c r="AK37" s="132">
        <v>36</v>
      </c>
      <c r="AL37" s="132"/>
      <c r="AM37" s="132"/>
      <c r="AN37" s="132"/>
      <c r="AO37" s="132"/>
      <c r="AP37" s="132"/>
      <c r="AQ37" s="90"/>
      <c r="AR37" s="112" t="s">
        <v>117</v>
      </c>
      <c r="AS37" s="88" t="s">
        <v>1321</v>
      </c>
      <c r="AT37" s="35" t="s">
        <v>269</v>
      </c>
      <c r="AU37" s="93"/>
      <c r="AV37" s="600"/>
      <c r="AW37" s="840"/>
      <c r="AX37" s="840"/>
      <c r="AY37" s="840"/>
      <c r="AZ37" s="840"/>
      <c r="BA37" s="529"/>
      <c r="BB37" s="600"/>
      <c r="BC37" s="600"/>
      <c r="BD37" s="600"/>
      <c r="BE37" s="529"/>
      <c r="BF37" s="529"/>
      <c r="BG37" s="529"/>
      <c r="BI37" s="600"/>
      <c r="BJ37" s="201"/>
      <c r="BK37" s="201"/>
      <c r="BM37" s="201"/>
      <c r="BN37" s="7"/>
    </row>
    <row r="38" s="9" customFormat="1" ht="30" customHeight="1" spans="1:66">
      <c r="A38" s="551" t="s">
        <v>743</v>
      </c>
      <c r="B38" s="557" t="str">
        <f>"其他（"&amp;SUBTOTAL(3,C39:C45)&amp;"个）"</f>
        <v>其他（7个）</v>
      </c>
      <c r="C38" s="557"/>
      <c r="D38" s="557"/>
      <c r="E38" s="35"/>
      <c r="F38" s="134">
        <f t="shared" ref="F38:L38" si="12">SUBTOTAL(9,F39:F45)</f>
        <v>68709</v>
      </c>
      <c r="G38" s="134">
        <f t="shared" si="12"/>
        <v>0</v>
      </c>
      <c r="H38" s="67"/>
      <c r="I38" s="134">
        <f t="shared" si="12"/>
        <v>100</v>
      </c>
      <c r="J38" s="134">
        <f t="shared" si="12"/>
        <v>1600</v>
      </c>
      <c r="K38" s="134">
        <f t="shared" si="12"/>
        <v>7050</v>
      </c>
      <c r="L38" s="134">
        <f t="shared" si="12"/>
        <v>12700</v>
      </c>
      <c r="M38" s="257"/>
      <c r="N38" s="58"/>
      <c r="O38" s="134"/>
      <c r="P38" s="134"/>
      <c r="Q38" s="134"/>
      <c r="R38" s="134"/>
      <c r="S38" s="134"/>
      <c r="T38" s="134"/>
      <c r="U38" s="134"/>
      <c r="V38" s="134"/>
      <c r="W38" s="134"/>
      <c r="X38" s="674"/>
      <c r="Y38" s="90"/>
      <c r="Z38" s="134">
        <f t="shared" ref="Z38:AP38" si="13">SUBTOTAL(9,Z39:Z45)</f>
        <v>404.02</v>
      </c>
      <c r="AA38" s="134">
        <f t="shared" si="13"/>
        <v>304.02</v>
      </c>
      <c r="AB38" s="134">
        <f t="shared" si="13"/>
        <v>60</v>
      </c>
      <c r="AC38" s="134">
        <f t="shared" si="13"/>
        <v>125</v>
      </c>
      <c r="AD38" s="134">
        <f t="shared" si="13"/>
        <v>0</v>
      </c>
      <c r="AE38" s="134">
        <f t="shared" si="13"/>
        <v>76</v>
      </c>
      <c r="AF38" s="134">
        <f t="shared" si="13"/>
        <v>0</v>
      </c>
      <c r="AG38" s="134">
        <f t="shared" si="13"/>
        <v>0</v>
      </c>
      <c r="AH38" s="134">
        <f t="shared" si="13"/>
        <v>0</v>
      </c>
      <c r="AI38" s="134">
        <f t="shared" si="13"/>
        <v>450</v>
      </c>
      <c r="AJ38" s="134">
        <f t="shared" si="13"/>
        <v>350</v>
      </c>
      <c r="AK38" s="134">
        <f t="shared" si="13"/>
        <v>100</v>
      </c>
      <c r="AL38" s="134">
        <f t="shared" si="13"/>
        <v>0</v>
      </c>
      <c r="AM38" s="134">
        <f t="shared" si="13"/>
        <v>0</v>
      </c>
      <c r="AN38" s="134">
        <f t="shared" si="13"/>
        <v>2600</v>
      </c>
      <c r="AO38" s="134">
        <f t="shared" si="13"/>
        <v>600</v>
      </c>
      <c r="AP38" s="134">
        <f t="shared" si="13"/>
        <v>2000</v>
      </c>
      <c r="AQ38" s="90"/>
      <c r="AR38" s="112"/>
      <c r="AS38" s="88"/>
      <c r="AT38" s="35"/>
      <c r="AU38" s="93"/>
      <c r="AV38" s="600"/>
      <c r="AW38" s="840"/>
      <c r="AX38" s="840"/>
      <c r="AY38" s="840"/>
      <c r="AZ38" s="840"/>
      <c r="BA38" s="529"/>
      <c r="BB38" s="600"/>
      <c r="BC38" s="600"/>
      <c r="BD38" s="600"/>
      <c r="BE38" s="529"/>
      <c r="BF38" s="529"/>
      <c r="BG38" s="529"/>
      <c r="BI38" s="600"/>
      <c r="BJ38" s="201"/>
      <c r="BK38" s="201"/>
      <c r="BM38" s="201"/>
      <c r="BN38" s="7"/>
    </row>
    <row r="39" s="9" customFormat="1" ht="63.75" customHeight="1" spans="1:66">
      <c r="A39" s="23">
        <f>SUBTOTAL(3,C$9:C39)</f>
        <v>26</v>
      </c>
      <c r="B39" s="55" t="s">
        <v>1814</v>
      </c>
      <c r="C39" s="35" t="s">
        <v>79</v>
      </c>
      <c r="D39" s="55" t="s">
        <v>1815</v>
      </c>
      <c r="E39" s="35" t="s">
        <v>112</v>
      </c>
      <c r="F39" s="67">
        <v>11814</v>
      </c>
      <c r="G39" s="67"/>
      <c r="H39" s="81" t="s">
        <v>209</v>
      </c>
      <c r="I39" s="81"/>
      <c r="J39" s="81"/>
      <c r="K39" s="37">
        <v>600</v>
      </c>
      <c r="L39" s="35">
        <v>1000</v>
      </c>
      <c r="M39" s="35"/>
      <c r="N39" s="34" t="s">
        <v>284</v>
      </c>
      <c r="O39" s="134"/>
      <c r="P39" s="134"/>
      <c r="Q39" s="134" t="s">
        <v>115</v>
      </c>
      <c r="R39" s="134" t="s">
        <v>115</v>
      </c>
      <c r="S39" s="134" t="s">
        <v>115</v>
      </c>
      <c r="T39" s="134" t="s">
        <v>115</v>
      </c>
      <c r="U39" s="134" t="s">
        <v>115</v>
      </c>
      <c r="V39" s="134" t="s">
        <v>115</v>
      </c>
      <c r="W39" s="134" t="s">
        <v>115</v>
      </c>
      <c r="X39" s="90" t="s">
        <v>1816</v>
      </c>
      <c r="Y39" s="55" t="s">
        <v>1817</v>
      </c>
      <c r="Z39" s="132">
        <v>94.02</v>
      </c>
      <c r="AA39" s="132">
        <v>94.02</v>
      </c>
      <c r="AB39" s="132"/>
      <c r="AC39" s="132"/>
      <c r="AD39" s="132"/>
      <c r="AE39" s="132"/>
      <c r="AF39" s="132"/>
      <c r="AG39" s="132"/>
      <c r="AH39" s="132"/>
      <c r="AI39" s="132"/>
      <c r="AJ39" s="132"/>
      <c r="AK39" s="132"/>
      <c r="AL39" s="132"/>
      <c r="AM39" s="132"/>
      <c r="AN39" s="132"/>
      <c r="AO39" s="132"/>
      <c r="AP39" s="134">
        <v>1000</v>
      </c>
      <c r="AQ39" s="90"/>
      <c r="AR39" s="112" t="s">
        <v>1818</v>
      </c>
      <c r="AS39" s="55" t="s">
        <v>464</v>
      </c>
      <c r="AT39" s="35" t="s">
        <v>464</v>
      </c>
      <c r="AU39" s="93"/>
      <c r="AV39" s="600"/>
      <c r="AW39" s="840"/>
      <c r="AX39" s="840"/>
      <c r="AY39" s="840"/>
      <c r="AZ39" s="840"/>
      <c r="BA39" s="529"/>
      <c r="BB39" s="600"/>
      <c r="BC39" s="600"/>
      <c r="BD39" s="600"/>
      <c r="BE39" s="529"/>
      <c r="BF39" s="529"/>
      <c r="BG39" s="529"/>
      <c r="BI39" s="600"/>
      <c r="BJ39" s="201"/>
      <c r="BK39" s="201"/>
      <c r="BM39" s="201"/>
      <c r="BN39" s="7"/>
    </row>
    <row r="40" s="9" customFormat="1" ht="71.25" customHeight="1" spans="1:66">
      <c r="A40" s="23">
        <f>SUBTOTAL(3,C$9:C40)</f>
        <v>27</v>
      </c>
      <c r="B40" s="55" t="s">
        <v>1819</v>
      </c>
      <c r="C40" s="35" t="s">
        <v>79</v>
      </c>
      <c r="D40" s="55" t="s">
        <v>1820</v>
      </c>
      <c r="E40" s="35" t="s">
        <v>112</v>
      </c>
      <c r="F40" s="67">
        <v>7583</v>
      </c>
      <c r="G40" s="67"/>
      <c r="H40" s="81" t="s">
        <v>209</v>
      </c>
      <c r="I40" s="81"/>
      <c r="J40" s="81"/>
      <c r="K40" s="37">
        <v>450</v>
      </c>
      <c r="L40" s="35">
        <v>1000</v>
      </c>
      <c r="M40" s="35"/>
      <c r="N40" s="34" t="s">
        <v>1821</v>
      </c>
      <c r="O40" s="134"/>
      <c r="P40" s="134"/>
      <c r="Q40" s="99" t="s">
        <v>115</v>
      </c>
      <c r="R40" s="99" t="s">
        <v>115</v>
      </c>
      <c r="S40" s="99" t="s">
        <v>115</v>
      </c>
      <c r="T40" s="99" t="s">
        <v>115</v>
      </c>
      <c r="U40" s="99" t="s">
        <v>115</v>
      </c>
      <c r="V40" s="99"/>
      <c r="W40" s="99"/>
      <c r="X40" s="90" t="s">
        <v>1822</v>
      </c>
      <c r="Y40" s="55" t="s">
        <v>1817</v>
      </c>
      <c r="Z40" s="132">
        <v>120</v>
      </c>
      <c r="AA40" s="132">
        <v>60</v>
      </c>
      <c r="AB40" s="132">
        <v>60</v>
      </c>
      <c r="AC40" s="132">
        <v>76</v>
      </c>
      <c r="AD40" s="132"/>
      <c r="AE40" s="132">
        <v>76</v>
      </c>
      <c r="AF40" s="132"/>
      <c r="AG40" s="132"/>
      <c r="AH40" s="132"/>
      <c r="AI40" s="132"/>
      <c r="AJ40" s="132"/>
      <c r="AK40" s="132"/>
      <c r="AL40" s="132"/>
      <c r="AM40" s="132"/>
      <c r="AN40" s="132"/>
      <c r="AO40" s="132">
        <v>600</v>
      </c>
      <c r="AP40" s="134">
        <v>1000</v>
      </c>
      <c r="AQ40" s="90"/>
      <c r="AR40" s="112" t="s">
        <v>1818</v>
      </c>
      <c r="AS40" s="55" t="s">
        <v>464</v>
      </c>
      <c r="AT40" s="35" t="s">
        <v>464</v>
      </c>
      <c r="AU40" s="93"/>
      <c r="AV40" s="600"/>
      <c r="AW40" s="840"/>
      <c r="AX40" s="840"/>
      <c r="AY40" s="840"/>
      <c r="AZ40" s="840"/>
      <c r="BA40" s="529"/>
      <c r="BB40" s="600"/>
      <c r="BC40" s="600"/>
      <c r="BD40" s="600"/>
      <c r="BE40" s="529"/>
      <c r="BF40" s="529"/>
      <c r="BG40" s="529"/>
      <c r="BI40" s="600"/>
      <c r="BJ40" s="201"/>
      <c r="BK40" s="201"/>
      <c r="BM40" s="201"/>
      <c r="BN40" s="7"/>
    </row>
    <row r="41" s="9" customFormat="1" ht="80.1" customHeight="1" spans="1:66">
      <c r="A41" s="23">
        <f>SUBTOTAL(3,C$9:C41)</f>
        <v>28</v>
      </c>
      <c r="B41" s="55" t="s">
        <v>1823</v>
      </c>
      <c r="C41" s="35" t="s">
        <v>79</v>
      </c>
      <c r="D41" s="55" t="s">
        <v>1824</v>
      </c>
      <c r="E41" s="35" t="s">
        <v>112</v>
      </c>
      <c r="F41" s="67">
        <v>8291</v>
      </c>
      <c r="G41" s="67"/>
      <c r="H41" s="83" t="s">
        <v>263</v>
      </c>
      <c r="I41" s="83"/>
      <c r="J41" s="83"/>
      <c r="K41" s="578">
        <v>450</v>
      </c>
      <c r="L41" s="35">
        <v>1700</v>
      </c>
      <c r="M41" s="35"/>
      <c r="N41" s="34" t="s">
        <v>284</v>
      </c>
      <c r="O41" s="134"/>
      <c r="P41" s="134"/>
      <c r="Q41" s="134"/>
      <c r="R41" s="134"/>
      <c r="S41" s="134"/>
      <c r="T41" s="134"/>
      <c r="U41" s="134"/>
      <c r="V41" s="134"/>
      <c r="W41" s="134"/>
      <c r="X41" s="674"/>
      <c r="Y41" s="90"/>
      <c r="Z41" s="99">
        <v>60</v>
      </c>
      <c r="AA41" s="99">
        <v>20</v>
      </c>
      <c r="AB41" s="132"/>
      <c r="AC41" s="99">
        <v>49</v>
      </c>
      <c r="AD41" s="577"/>
      <c r="AE41" s="132"/>
      <c r="AF41" s="132"/>
      <c r="AG41" s="132"/>
      <c r="AH41" s="132"/>
      <c r="AI41" s="577">
        <v>350</v>
      </c>
      <c r="AJ41" s="577">
        <v>350</v>
      </c>
      <c r="AK41" s="132"/>
      <c r="AL41" s="132"/>
      <c r="AM41" s="132"/>
      <c r="AN41" s="577">
        <v>2600</v>
      </c>
      <c r="AO41" s="132"/>
      <c r="AP41" s="132"/>
      <c r="AQ41" s="90"/>
      <c r="AR41" s="34" t="s">
        <v>1825</v>
      </c>
      <c r="AS41" s="55" t="s">
        <v>1826</v>
      </c>
      <c r="AT41" s="35" t="s">
        <v>464</v>
      </c>
      <c r="AU41" s="93"/>
      <c r="AV41" s="600"/>
      <c r="AW41" s="840"/>
      <c r="AX41" s="840"/>
      <c r="AY41" s="840"/>
      <c r="AZ41" s="840"/>
      <c r="BA41" s="529"/>
      <c r="BB41" s="600"/>
      <c r="BC41" s="600"/>
      <c r="BD41" s="600"/>
      <c r="BE41" s="529"/>
      <c r="BF41" s="529"/>
      <c r="BG41" s="529"/>
      <c r="BI41" s="600"/>
      <c r="BJ41" s="201"/>
      <c r="BK41" s="201"/>
      <c r="BM41" s="201"/>
      <c r="BN41" s="7"/>
    </row>
    <row r="42" s="9" customFormat="1" ht="80.1" customHeight="1" spans="1:66">
      <c r="A42" s="23">
        <f>SUBTOTAL(3,C$9:C42)</f>
        <v>29</v>
      </c>
      <c r="B42" s="55" t="s">
        <v>1827</v>
      </c>
      <c r="C42" s="35" t="s">
        <v>79</v>
      </c>
      <c r="D42" s="55" t="s">
        <v>1828</v>
      </c>
      <c r="E42" s="35" t="s">
        <v>112</v>
      </c>
      <c r="F42" s="36">
        <v>30000</v>
      </c>
      <c r="G42" s="36"/>
      <c r="H42" s="67" t="s">
        <v>144</v>
      </c>
      <c r="I42" s="37"/>
      <c r="J42" s="37">
        <v>800</v>
      </c>
      <c r="K42" s="37">
        <v>3500</v>
      </c>
      <c r="L42" s="36">
        <v>5000</v>
      </c>
      <c r="M42" s="36"/>
      <c r="N42" s="112" t="s">
        <v>284</v>
      </c>
      <c r="O42" s="134"/>
      <c r="P42" s="134"/>
      <c r="Q42" s="134"/>
      <c r="R42" s="134"/>
      <c r="S42" s="134"/>
      <c r="T42" s="134"/>
      <c r="U42" s="134"/>
      <c r="V42" s="134"/>
      <c r="W42" s="134"/>
      <c r="X42" s="674"/>
      <c r="Y42" s="90"/>
      <c r="Z42" s="132">
        <v>50</v>
      </c>
      <c r="AA42" s="132">
        <v>50</v>
      </c>
      <c r="AB42" s="132"/>
      <c r="AC42" s="132"/>
      <c r="AD42" s="132"/>
      <c r="AE42" s="132"/>
      <c r="AF42" s="132"/>
      <c r="AG42" s="132"/>
      <c r="AH42" s="132"/>
      <c r="AI42" s="132">
        <v>50</v>
      </c>
      <c r="AJ42" s="132"/>
      <c r="AK42" s="132">
        <v>50</v>
      </c>
      <c r="AL42" s="132"/>
      <c r="AM42" s="132"/>
      <c r="AN42" s="132"/>
      <c r="AO42" s="132"/>
      <c r="AP42" s="132"/>
      <c r="AQ42" s="90"/>
      <c r="AR42" s="112" t="s">
        <v>117</v>
      </c>
      <c r="AS42" s="55" t="s">
        <v>1321</v>
      </c>
      <c r="AT42" s="35" t="s">
        <v>269</v>
      </c>
      <c r="AU42" s="93"/>
      <c r="AV42" s="600"/>
      <c r="AW42" s="840"/>
      <c r="AX42" s="840"/>
      <c r="AY42" s="840"/>
      <c r="AZ42" s="840"/>
      <c r="BA42" s="529"/>
      <c r="BB42" s="600"/>
      <c r="BC42" s="600"/>
      <c r="BD42" s="600"/>
      <c r="BE42" s="529"/>
      <c r="BF42" s="529"/>
      <c r="BG42" s="529"/>
      <c r="BI42" s="600"/>
      <c r="BJ42" s="201"/>
      <c r="BK42" s="201"/>
      <c r="BM42" s="201"/>
      <c r="BN42" s="7"/>
    </row>
    <row r="43" s="9" customFormat="1" ht="69.75" customHeight="1" spans="1:66">
      <c r="A43" s="23">
        <f>SUBTOTAL(3,C$9:C43)</f>
        <v>30</v>
      </c>
      <c r="B43" s="55" t="s">
        <v>1829</v>
      </c>
      <c r="C43" s="35" t="s">
        <v>79</v>
      </c>
      <c r="D43" s="55" t="s">
        <v>1830</v>
      </c>
      <c r="E43" s="35" t="s">
        <v>112</v>
      </c>
      <c r="F43" s="35">
        <v>4284</v>
      </c>
      <c r="G43" s="35"/>
      <c r="H43" s="67" t="s">
        <v>122</v>
      </c>
      <c r="I43" s="37"/>
      <c r="J43" s="67">
        <v>300</v>
      </c>
      <c r="K43" s="67">
        <v>1200</v>
      </c>
      <c r="L43" s="257">
        <v>2000</v>
      </c>
      <c r="M43" s="257"/>
      <c r="N43" s="131" t="s">
        <v>1724</v>
      </c>
      <c r="O43" s="134"/>
      <c r="P43" s="134"/>
      <c r="Q43" s="134"/>
      <c r="R43" s="134"/>
      <c r="S43" s="134"/>
      <c r="T43" s="134"/>
      <c r="U43" s="134"/>
      <c r="V43" s="134"/>
      <c r="W43" s="134"/>
      <c r="X43" s="674"/>
      <c r="Y43" s="90"/>
      <c r="Z43" s="132">
        <v>50</v>
      </c>
      <c r="AA43" s="132">
        <v>50</v>
      </c>
      <c r="AB43" s="132"/>
      <c r="AC43" s="132"/>
      <c r="AD43" s="132"/>
      <c r="AE43" s="132"/>
      <c r="AF43" s="132"/>
      <c r="AG43" s="132"/>
      <c r="AH43" s="132"/>
      <c r="AI43" s="132">
        <v>50</v>
      </c>
      <c r="AJ43" s="132"/>
      <c r="AK43" s="132">
        <v>50</v>
      </c>
      <c r="AL43" s="132"/>
      <c r="AM43" s="132"/>
      <c r="AN43" s="132"/>
      <c r="AO43" s="132"/>
      <c r="AP43" s="132"/>
      <c r="AQ43" s="90"/>
      <c r="AR43" s="112" t="s">
        <v>1320</v>
      </c>
      <c r="AS43" s="55" t="s">
        <v>1321</v>
      </c>
      <c r="AT43" s="35" t="s">
        <v>269</v>
      </c>
      <c r="AU43" s="93"/>
      <c r="AV43" s="600"/>
      <c r="AW43" s="840"/>
      <c r="AX43" s="840"/>
      <c r="AY43" s="840"/>
      <c r="AZ43" s="840"/>
      <c r="BA43" s="529"/>
      <c r="BB43" s="600"/>
      <c r="BC43" s="600"/>
      <c r="BD43" s="600"/>
      <c r="BE43" s="529"/>
      <c r="BF43" s="529"/>
      <c r="BG43" s="529"/>
      <c r="BI43" s="600"/>
      <c r="BJ43" s="201"/>
      <c r="BK43" s="201"/>
      <c r="BM43" s="201"/>
      <c r="BN43" s="7"/>
    </row>
    <row r="44" s="9" customFormat="1" ht="72.75" customHeight="1" spans="1:66">
      <c r="A44" s="23">
        <f>SUBTOTAL(3,C$9:C44)</f>
        <v>31</v>
      </c>
      <c r="B44" s="60" t="s">
        <v>1831</v>
      </c>
      <c r="C44" s="23" t="s">
        <v>79</v>
      </c>
      <c r="D44" s="88" t="s">
        <v>1832</v>
      </c>
      <c r="E44" s="23" t="s">
        <v>112</v>
      </c>
      <c r="F44" s="67">
        <v>2427</v>
      </c>
      <c r="G44" s="67"/>
      <c r="H44" s="67" t="s">
        <v>195</v>
      </c>
      <c r="I44" s="37">
        <v>100</v>
      </c>
      <c r="J44" s="37">
        <v>300</v>
      </c>
      <c r="K44" s="37">
        <v>300</v>
      </c>
      <c r="L44" s="67">
        <v>1000</v>
      </c>
      <c r="M44" s="67"/>
      <c r="N44" s="123" t="s">
        <v>1833</v>
      </c>
      <c r="O44" s="134"/>
      <c r="P44" s="134"/>
      <c r="Q44" s="134"/>
      <c r="R44" s="134"/>
      <c r="S44" s="134"/>
      <c r="T44" s="134"/>
      <c r="U44" s="134"/>
      <c r="V44" s="134"/>
      <c r="W44" s="134"/>
      <c r="X44" s="674"/>
      <c r="Y44" s="90"/>
      <c r="Z44" s="132"/>
      <c r="AA44" s="132"/>
      <c r="AB44" s="132"/>
      <c r="AC44" s="132"/>
      <c r="AD44" s="132"/>
      <c r="AE44" s="132"/>
      <c r="AF44" s="132"/>
      <c r="AG44" s="132"/>
      <c r="AH44" s="132"/>
      <c r="AI44" s="132"/>
      <c r="AJ44" s="132"/>
      <c r="AK44" s="132"/>
      <c r="AL44" s="132"/>
      <c r="AM44" s="132"/>
      <c r="AN44" s="132"/>
      <c r="AO44" s="132"/>
      <c r="AP44" s="132"/>
      <c r="AQ44" s="90"/>
      <c r="AR44" s="34" t="s">
        <v>737</v>
      </c>
      <c r="AS44" s="55" t="s">
        <v>1834</v>
      </c>
      <c r="AT44" s="35" t="s">
        <v>359</v>
      </c>
      <c r="AU44" s="93"/>
      <c r="AV44" s="600"/>
      <c r="AW44" s="840"/>
      <c r="AX44" s="840"/>
      <c r="AY44" s="840"/>
      <c r="AZ44" s="840"/>
      <c r="BA44" s="529"/>
      <c r="BB44" s="600"/>
      <c r="BC44" s="600"/>
      <c r="BD44" s="600"/>
      <c r="BE44" s="529"/>
      <c r="BF44" s="529"/>
      <c r="BG44" s="529"/>
      <c r="BI44" s="600"/>
      <c r="BJ44" s="201"/>
      <c r="BK44" s="201"/>
      <c r="BM44" s="201"/>
      <c r="BN44" s="7"/>
    </row>
    <row r="45" s="9" customFormat="1" ht="80.1" customHeight="1" spans="1:66">
      <c r="A45" s="23">
        <f>SUBTOTAL(3,C$9:C45)</f>
        <v>32</v>
      </c>
      <c r="B45" s="34" t="s">
        <v>1835</v>
      </c>
      <c r="C45" s="35" t="s">
        <v>79</v>
      </c>
      <c r="D45" s="34" t="s">
        <v>1836</v>
      </c>
      <c r="E45" s="35" t="s">
        <v>112</v>
      </c>
      <c r="F45" s="36">
        <v>4310</v>
      </c>
      <c r="G45" s="36"/>
      <c r="H45" s="81" t="s">
        <v>144</v>
      </c>
      <c r="I45" s="67"/>
      <c r="J45" s="67">
        <v>200</v>
      </c>
      <c r="K45" s="67">
        <v>550</v>
      </c>
      <c r="L45" s="36">
        <v>1000</v>
      </c>
      <c r="M45" s="36"/>
      <c r="N45" s="112" t="s">
        <v>1837</v>
      </c>
      <c r="O45" s="134"/>
      <c r="P45" s="134"/>
      <c r="Q45" s="134"/>
      <c r="R45" s="134"/>
      <c r="S45" s="134"/>
      <c r="T45" s="134"/>
      <c r="U45" s="134"/>
      <c r="V45" s="134"/>
      <c r="W45" s="134"/>
      <c r="X45" s="674"/>
      <c r="Y45" s="90"/>
      <c r="Z45" s="132">
        <v>30</v>
      </c>
      <c r="AA45" s="132">
        <v>30</v>
      </c>
      <c r="AB45" s="132"/>
      <c r="AC45" s="132"/>
      <c r="AD45" s="132"/>
      <c r="AE45" s="132"/>
      <c r="AF45" s="132"/>
      <c r="AG45" s="132"/>
      <c r="AH45" s="132"/>
      <c r="AI45" s="132"/>
      <c r="AJ45" s="132"/>
      <c r="AK45" s="132"/>
      <c r="AL45" s="132"/>
      <c r="AM45" s="132"/>
      <c r="AN45" s="132"/>
      <c r="AO45" s="132"/>
      <c r="AP45" s="132"/>
      <c r="AQ45" s="90"/>
      <c r="AR45" s="112" t="s">
        <v>806</v>
      </c>
      <c r="AS45" s="34" t="s">
        <v>807</v>
      </c>
      <c r="AT45" s="35" t="s">
        <v>375</v>
      </c>
      <c r="AU45" s="93"/>
      <c r="AV45" s="600"/>
      <c r="AW45" s="840"/>
      <c r="AX45" s="840"/>
      <c r="AY45" s="840"/>
      <c r="AZ45" s="840"/>
      <c r="BA45" s="529"/>
      <c r="BB45" s="600"/>
      <c r="BC45" s="600"/>
      <c r="BD45" s="600"/>
      <c r="BE45" s="529"/>
      <c r="BF45" s="529"/>
      <c r="BG45" s="529"/>
      <c r="BI45" s="600"/>
      <c r="BJ45" s="201"/>
      <c r="BK45" s="201"/>
      <c r="BM45" s="201"/>
      <c r="BN45" s="7"/>
    </row>
    <row r="46" s="9" customFormat="1" ht="30" customHeight="1" spans="1:66">
      <c r="A46" s="551" t="s">
        <v>808</v>
      </c>
      <c r="B46" s="557" t="str">
        <f>"社会投资项目（"&amp;SUBTOTAL(3,C47:C58)&amp;"个）"</f>
        <v>社会投资项目（8个）</v>
      </c>
      <c r="C46" s="557"/>
      <c r="D46" s="557"/>
      <c r="E46" s="551"/>
      <c r="F46" s="134">
        <f t="shared" ref="F46:M46" si="14">F47+F51+F53+F57</f>
        <v>157699</v>
      </c>
      <c r="G46" s="134">
        <f t="shared" si="14"/>
        <v>36682</v>
      </c>
      <c r="H46" s="134"/>
      <c r="I46" s="134">
        <f t="shared" si="14"/>
        <v>8400</v>
      </c>
      <c r="J46" s="134">
        <f t="shared" si="14"/>
        <v>18700</v>
      </c>
      <c r="K46" s="134">
        <f t="shared" si="14"/>
        <v>30750</v>
      </c>
      <c r="L46" s="134">
        <f t="shared" si="14"/>
        <v>44000</v>
      </c>
      <c r="M46" s="134">
        <f t="shared" si="14"/>
        <v>0</v>
      </c>
      <c r="N46" s="134"/>
      <c r="O46" s="134">
        <f t="shared" ref="O46:AP46" si="15">O47+O51+O53+O57</f>
        <v>0</v>
      </c>
      <c r="P46" s="134">
        <f t="shared" si="15"/>
        <v>0</v>
      </c>
      <c r="Q46" s="134">
        <f t="shared" si="15"/>
        <v>0</v>
      </c>
      <c r="R46" s="134">
        <f t="shared" si="15"/>
        <v>0</v>
      </c>
      <c r="S46" s="134">
        <f t="shared" si="15"/>
        <v>0</v>
      </c>
      <c r="T46" s="134">
        <f t="shared" si="15"/>
        <v>0</v>
      </c>
      <c r="U46" s="134">
        <f t="shared" si="15"/>
        <v>0</v>
      </c>
      <c r="V46" s="134">
        <f t="shared" si="15"/>
        <v>0</v>
      </c>
      <c r="W46" s="134">
        <f t="shared" si="15"/>
        <v>0</v>
      </c>
      <c r="X46" s="134">
        <f t="shared" si="15"/>
        <v>0</v>
      </c>
      <c r="Y46" s="134">
        <f t="shared" si="15"/>
        <v>0</v>
      </c>
      <c r="Z46" s="134">
        <f t="shared" si="15"/>
        <v>1427.02</v>
      </c>
      <c r="AA46" s="134">
        <f t="shared" si="15"/>
        <v>771</v>
      </c>
      <c r="AB46" s="134">
        <f t="shared" si="15"/>
        <v>656</v>
      </c>
      <c r="AC46" s="134">
        <f t="shared" si="15"/>
        <v>280</v>
      </c>
      <c r="AD46" s="134">
        <f t="shared" si="15"/>
        <v>280</v>
      </c>
      <c r="AE46" s="134">
        <f t="shared" si="15"/>
        <v>0</v>
      </c>
      <c r="AF46" s="134">
        <f t="shared" si="15"/>
        <v>0</v>
      </c>
      <c r="AG46" s="134">
        <f t="shared" si="15"/>
        <v>0</v>
      </c>
      <c r="AH46" s="134">
        <f t="shared" si="15"/>
        <v>0</v>
      </c>
      <c r="AI46" s="134">
        <f t="shared" si="15"/>
        <v>843</v>
      </c>
      <c r="AJ46" s="134">
        <f t="shared" si="15"/>
        <v>390</v>
      </c>
      <c r="AK46" s="134">
        <f t="shared" si="15"/>
        <v>453</v>
      </c>
      <c r="AL46" s="134">
        <f t="shared" si="15"/>
        <v>0</v>
      </c>
      <c r="AM46" s="134">
        <f t="shared" si="15"/>
        <v>0</v>
      </c>
      <c r="AN46" s="134">
        <f t="shared" si="15"/>
        <v>0</v>
      </c>
      <c r="AO46" s="134">
        <f t="shared" si="15"/>
        <v>10500</v>
      </c>
      <c r="AP46" s="134">
        <f t="shared" si="15"/>
        <v>9500</v>
      </c>
      <c r="AQ46" s="90"/>
      <c r="AR46" s="112"/>
      <c r="AS46" s="678"/>
      <c r="AT46" s="134"/>
      <c r="AU46" s="93"/>
      <c r="AV46" s="165"/>
      <c r="AW46" s="158"/>
      <c r="AX46" s="158"/>
      <c r="AY46" s="158"/>
      <c r="AZ46" s="158"/>
      <c r="BA46" s="169"/>
      <c r="BB46" s="165"/>
      <c r="BC46" s="165"/>
      <c r="BD46" s="165"/>
      <c r="BE46" s="169"/>
      <c r="BF46" s="169"/>
      <c r="BG46" s="169"/>
      <c r="BI46" s="165"/>
      <c r="BJ46" s="157"/>
      <c r="BK46" s="157"/>
      <c r="BM46" s="201"/>
      <c r="BN46" s="7"/>
    </row>
    <row r="47" s="9" customFormat="1" ht="30" customHeight="1" spans="1:66">
      <c r="A47" s="551" t="s">
        <v>77</v>
      </c>
      <c r="B47" s="557" t="str">
        <f>"教育（"&amp;SUBTOTAL(3,C48:C50)&amp;"个）"</f>
        <v>教育（3个）</v>
      </c>
      <c r="C47" s="557"/>
      <c r="D47" s="557"/>
      <c r="E47" s="551"/>
      <c r="F47" s="134">
        <f t="shared" ref="F47:M47" si="16">SUBTOTAL(9,F48:F50)</f>
        <v>86100</v>
      </c>
      <c r="G47" s="134">
        <f t="shared" si="16"/>
        <v>22530</v>
      </c>
      <c r="H47" s="134"/>
      <c r="I47" s="134">
        <f t="shared" si="16"/>
        <v>5600</v>
      </c>
      <c r="J47" s="134">
        <f t="shared" si="16"/>
        <v>12000</v>
      </c>
      <c r="K47" s="134">
        <f t="shared" si="16"/>
        <v>19000</v>
      </c>
      <c r="L47" s="134">
        <f t="shared" si="16"/>
        <v>24000</v>
      </c>
      <c r="M47" s="134">
        <f t="shared" si="16"/>
        <v>0</v>
      </c>
      <c r="N47" s="134"/>
      <c r="O47" s="134">
        <f t="shared" ref="O47:AP47" si="17">SUBTOTAL(9,O48:O50)</f>
        <v>0</v>
      </c>
      <c r="P47" s="134">
        <f t="shared" si="17"/>
        <v>0</v>
      </c>
      <c r="Q47" s="134">
        <f t="shared" si="17"/>
        <v>0</v>
      </c>
      <c r="R47" s="134">
        <f t="shared" si="17"/>
        <v>0</v>
      </c>
      <c r="S47" s="134">
        <f t="shared" si="17"/>
        <v>0</v>
      </c>
      <c r="T47" s="134">
        <f t="shared" si="17"/>
        <v>0</v>
      </c>
      <c r="U47" s="134">
        <f t="shared" si="17"/>
        <v>0</v>
      </c>
      <c r="V47" s="134">
        <f t="shared" si="17"/>
        <v>0</v>
      </c>
      <c r="W47" s="134">
        <f t="shared" si="17"/>
        <v>0</v>
      </c>
      <c r="X47" s="134">
        <f t="shared" si="17"/>
        <v>0</v>
      </c>
      <c r="Y47" s="134">
        <f t="shared" si="17"/>
        <v>0</v>
      </c>
      <c r="Z47" s="134">
        <f t="shared" si="17"/>
        <v>597.02</v>
      </c>
      <c r="AA47" s="134">
        <f t="shared" si="17"/>
        <v>441</v>
      </c>
      <c r="AB47" s="134">
        <f t="shared" si="17"/>
        <v>156</v>
      </c>
      <c r="AC47" s="134">
        <f t="shared" si="17"/>
        <v>0</v>
      </c>
      <c r="AD47" s="134">
        <f t="shared" si="17"/>
        <v>0</v>
      </c>
      <c r="AE47" s="134">
        <f t="shared" si="17"/>
        <v>0</v>
      </c>
      <c r="AF47" s="134">
        <f t="shared" si="17"/>
        <v>0</v>
      </c>
      <c r="AG47" s="134">
        <f t="shared" si="17"/>
        <v>0</v>
      </c>
      <c r="AH47" s="134">
        <f t="shared" si="17"/>
        <v>0</v>
      </c>
      <c r="AI47" s="134">
        <f t="shared" si="17"/>
        <v>28</v>
      </c>
      <c r="AJ47" s="134">
        <f t="shared" si="17"/>
        <v>0</v>
      </c>
      <c r="AK47" s="134">
        <f t="shared" si="17"/>
        <v>28</v>
      </c>
      <c r="AL47" s="134">
        <f t="shared" si="17"/>
        <v>0</v>
      </c>
      <c r="AM47" s="134">
        <f t="shared" si="17"/>
        <v>0</v>
      </c>
      <c r="AN47" s="134">
        <f t="shared" si="17"/>
        <v>0</v>
      </c>
      <c r="AO47" s="134">
        <f t="shared" si="17"/>
        <v>10500</v>
      </c>
      <c r="AP47" s="134">
        <f t="shared" si="17"/>
        <v>9500</v>
      </c>
      <c r="AQ47" s="90"/>
      <c r="AR47" s="112"/>
      <c r="AS47" s="678"/>
      <c r="AT47" s="134"/>
      <c r="AU47" s="93"/>
      <c r="AV47" s="619"/>
      <c r="AW47" s="841"/>
      <c r="AX47" s="841"/>
      <c r="AY47" s="841"/>
      <c r="AZ47" s="841"/>
      <c r="BA47" s="842"/>
      <c r="BB47" s="619"/>
      <c r="BC47" s="619"/>
      <c r="BD47" s="619"/>
      <c r="BE47" s="842"/>
      <c r="BF47" s="842"/>
      <c r="BG47" s="842"/>
      <c r="BI47" s="619"/>
      <c r="BJ47" s="659"/>
      <c r="BK47" s="659"/>
      <c r="BM47" s="201"/>
      <c r="BN47" s="7"/>
    </row>
    <row r="48" ht="90" customHeight="1" spans="1:47">
      <c r="A48" s="23">
        <f>SUBTOTAL(3,C$9:C48)</f>
        <v>33</v>
      </c>
      <c r="B48" s="55" t="s">
        <v>1838</v>
      </c>
      <c r="C48" s="35" t="s">
        <v>562</v>
      </c>
      <c r="D48" s="55" t="s">
        <v>1839</v>
      </c>
      <c r="E48" s="35" t="s">
        <v>575</v>
      </c>
      <c r="F48" s="38">
        <v>38100</v>
      </c>
      <c r="G48" s="38">
        <v>6500</v>
      </c>
      <c r="H48" s="134"/>
      <c r="I48" s="67">
        <v>2500</v>
      </c>
      <c r="J48" s="67">
        <v>5500</v>
      </c>
      <c r="K48" s="67">
        <v>10000</v>
      </c>
      <c r="L48" s="38">
        <v>13000</v>
      </c>
      <c r="M48" s="38"/>
      <c r="N48" s="123" t="s">
        <v>1840</v>
      </c>
      <c r="O48" s="134"/>
      <c r="P48" s="134"/>
      <c r="Q48" s="134"/>
      <c r="R48" s="134"/>
      <c r="S48" s="134"/>
      <c r="T48" s="134"/>
      <c r="U48" s="134"/>
      <c r="V48" s="134"/>
      <c r="W48" s="134"/>
      <c r="X48" s="674"/>
      <c r="Y48" s="90"/>
      <c r="Z48" s="132">
        <v>250.02</v>
      </c>
      <c r="AA48" s="132">
        <v>137</v>
      </c>
      <c r="AB48" s="132">
        <v>113</v>
      </c>
      <c r="AC48" s="132"/>
      <c r="AD48" s="132"/>
      <c r="AE48" s="132"/>
      <c r="AF48" s="132"/>
      <c r="AG48" s="132"/>
      <c r="AH48" s="132"/>
      <c r="AI48" s="132">
        <v>10</v>
      </c>
      <c r="AJ48" s="132"/>
      <c r="AK48" s="132">
        <v>10</v>
      </c>
      <c r="AL48" s="132"/>
      <c r="AM48" s="132"/>
      <c r="AN48" s="132"/>
      <c r="AO48" s="132">
        <v>5000</v>
      </c>
      <c r="AP48" s="838">
        <v>8000</v>
      </c>
      <c r="AQ48" s="90"/>
      <c r="AR48" s="90" t="s">
        <v>1841</v>
      </c>
      <c r="AS48" s="55" t="s">
        <v>1842</v>
      </c>
      <c r="AT48" s="35" t="s">
        <v>1843</v>
      </c>
      <c r="AU48" s="34"/>
    </row>
    <row r="49" ht="90" customHeight="1" spans="1:47">
      <c r="A49" s="23">
        <f>SUBTOTAL(3,C$9:C49)</f>
        <v>34</v>
      </c>
      <c r="B49" s="55" t="s">
        <v>1844</v>
      </c>
      <c r="C49" s="35" t="s">
        <v>562</v>
      </c>
      <c r="D49" s="55" t="s">
        <v>1845</v>
      </c>
      <c r="E49" s="35" t="s">
        <v>564</v>
      </c>
      <c r="F49" s="38">
        <v>18000</v>
      </c>
      <c r="G49" s="38">
        <v>10530</v>
      </c>
      <c r="H49" s="134"/>
      <c r="I49" s="136">
        <v>100</v>
      </c>
      <c r="J49" s="136">
        <v>1500</v>
      </c>
      <c r="K49" s="136">
        <v>2000</v>
      </c>
      <c r="L49" s="38">
        <v>2000</v>
      </c>
      <c r="M49" s="38"/>
      <c r="N49" s="720" t="s">
        <v>1174</v>
      </c>
      <c r="O49" s="134"/>
      <c r="P49" s="134"/>
      <c r="Q49" s="134"/>
      <c r="R49" s="134"/>
      <c r="S49" s="134"/>
      <c r="T49" s="134"/>
      <c r="U49" s="134"/>
      <c r="V49" s="134"/>
      <c r="W49" s="134"/>
      <c r="X49" s="674"/>
      <c r="Y49" s="90"/>
      <c r="Z49" s="115">
        <v>117</v>
      </c>
      <c r="AA49" s="115">
        <v>117</v>
      </c>
      <c r="AB49" s="115"/>
      <c r="AC49" s="115"/>
      <c r="AD49" s="115"/>
      <c r="AE49" s="115"/>
      <c r="AF49" s="115"/>
      <c r="AG49" s="115"/>
      <c r="AH49" s="115"/>
      <c r="AI49" s="115"/>
      <c r="AJ49" s="115"/>
      <c r="AK49" s="115"/>
      <c r="AL49" s="132"/>
      <c r="AM49" s="132"/>
      <c r="AN49" s="132"/>
      <c r="AO49" s="132">
        <v>5500</v>
      </c>
      <c r="AP49" s="132">
        <v>1500</v>
      </c>
      <c r="AQ49" s="76">
        <v>1500</v>
      </c>
      <c r="AR49" s="90" t="s">
        <v>1254</v>
      </c>
      <c r="AS49" s="55" t="s">
        <v>1846</v>
      </c>
      <c r="AT49" s="35" t="s">
        <v>498</v>
      </c>
      <c r="AU49" s="91"/>
    </row>
    <row r="50" ht="90" customHeight="1" spans="1:47">
      <c r="A50" s="23">
        <f>SUBTOTAL(3,C$9:C50)</f>
        <v>35</v>
      </c>
      <c r="B50" s="55" t="s">
        <v>1847</v>
      </c>
      <c r="C50" s="35" t="s">
        <v>562</v>
      </c>
      <c r="D50" s="55" t="s">
        <v>1848</v>
      </c>
      <c r="E50" s="35" t="s">
        <v>575</v>
      </c>
      <c r="F50" s="36">
        <v>30000</v>
      </c>
      <c r="G50" s="36">
        <v>5500</v>
      </c>
      <c r="H50" s="134"/>
      <c r="I50" s="67">
        <v>3000</v>
      </c>
      <c r="J50" s="67">
        <v>5000</v>
      </c>
      <c r="K50" s="67">
        <v>7000</v>
      </c>
      <c r="L50" s="36">
        <v>9000</v>
      </c>
      <c r="M50" s="36"/>
      <c r="N50" s="123" t="s">
        <v>1849</v>
      </c>
      <c r="O50" s="134"/>
      <c r="P50" s="134"/>
      <c r="Q50" s="134"/>
      <c r="R50" s="134"/>
      <c r="S50" s="134"/>
      <c r="T50" s="134"/>
      <c r="U50" s="134"/>
      <c r="V50" s="134"/>
      <c r="W50" s="134"/>
      <c r="X50" s="674"/>
      <c r="Y50" s="90"/>
      <c r="Z50" s="132">
        <v>230</v>
      </c>
      <c r="AA50" s="132">
        <v>187</v>
      </c>
      <c r="AB50" s="132">
        <v>43</v>
      </c>
      <c r="AC50" s="132"/>
      <c r="AD50" s="132"/>
      <c r="AE50" s="132"/>
      <c r="AF50" s="132"/>
      <c r="AG50" s="132"/>
      <c r="AH50" s="132"/>
      <c r="AI50" s="99">
        <v>18</v>
      </c>
      <c r="AJ50" s="99"/>
      <c r="AK50" s="99">
        <v>18</v>
      </c>
      <c r="AL50" s="132"/>
      <c r="AM50" s="132"/>
      <c r="AN50" s="132"/>
      <c r="AO50" s="132"/>
      <c r="AP50" s="132"/>
      <c r="AQ50" s="90"/>
      <c r="AR50" s="90" t="s">
        <v>1850</v>
      </c>
      <c r="AS50" s="55" t="s">
        <v>1851</v>
      </c>
      <c r="AT50" s="35" t="s">
        <v>269</v>
      </c>
      <c r="AU50" s="91"/>
    </row>
    <row r="51" ht="31.5" customHeight="1" spans="1:47">
      <c r="A51" s="551" t="s">
        <v>412</v>
      </c>
      <c r="B51" s="557" t="str">
        <f>"卫生（"&amp;SUBTOTAL(3,C52:C52)&amp;"个）"</f>
        <v>卫生（1个）</v>
      </c>
      <c r="C51" s="557"/>
      <c r="D51" s="557"/>
      <c r="E51" s="35"/>
      <c r="F51" s="134">
        <f t="shared" ref="F51:AP51" si="18">SUBTOTAL(9,F52:F52)</f>
        <v>6000</v>
      </c>
      <c r="G51" s="134">
        <f t="shared" si="18"/>
        <v>0</v>
      </c>
      <c r="H51" s="134"/>
      <c r="I51" s="134">
        <f t="shared" si="18"/>
        <v>0</v>
      </c>
      <c r="J51" s="134">
        <f t="shared" si="18"/>
        <v>0</v>
      </c>
      <c r="K51" s="134">
        <f t="shared" si="18"/>
        <v>500</v>
      </c>
      <c r="L51" s="134">
        <f t="shared" si="18"/>
        <v>1000</v>
      </c>
      <c r="M51" s="134">
        <f t="shared" si="18"/>
        <v>0</v>
      </c>
      <c r="N51" s="134"/>
      <c r="O51" s="134">
        <f t="shared" si="18"/>
        <v>0</v>
      </c>
      <c r="P51" s="134">
        <f t="shared" si="18"/>
        <v>0</v>
      </c>
      <c r="Q51" s="134">
        <f t="shared" si="18"/>
        <v>0</v>
      </c>
      <c r="R51" s="134">
        <f t="shared" si="18"/>
        <v>0</v>
      </c>
      <c r="S51" s="134">
        <f t="shared" si="18"/>
        <v>0</v>
      </c>
      <c r="T51" s="134">
        <f t="shared" si="18"/>
        <v>0</v>
      </c>
      <c r="U51" s="134">
        <f t="shared" si="18"/>
        <v>0</v>
      </c>
      <c r="V51" s="134">
        <f t="shared" si="18"/>
        <v>0</v>
      </c>
      <c r="W51" s="134">
        <f t="shared" si="18"/>
        <v>0</v>
      </c>
      <c r="X51" s="134">
        <f t="shared" si="18"/>
        <v>0</v>
      </c>
      <c r="Y51" s="134">
        <f t="shared" si="18"/>
        <v>0</v>
      </c>
      <c r="Z51" s="134">
        <f t="shared" si="18"/>
        <v>20</v>
      </c>
      <c r="AA51" s="134">
        <f t="shared" si="18"/>
        <v>20</v>
      </c>
      <c r="AB51" s="134">
        <f t="shared" si="18"/>
        <v>0</v>
      </c>
      <c r="AC51" s="134">
        <f t="shared" si="18"/>
        <v>0</v>
      </c>
      <c r="AD51" s="134">
        <f t="shared" si="18"/>
        <v>0</v>
      </c>
      <c r="AE51" s="134">
        <f t="shared" si="18"/>
        <v>0</v>
      </c>
      <c r="AF51" s="134">
        <f t="shared" si="18"/>
        <v>0</v>
      </c>
      <c r="AG51" s="134">
        <f t="shared" si="18"/>
        <v>0</v>
      </c>
      <c r="AH51" s="134">
        <f t="shared" si="18"/>
        <v>0</v>
      </c>
      <c r="AI51" s="134">
        <f t="shared" si="18"/>
        <v>0</v>
      </c>
      <c r="AJ51" s="134">
        <f t="shared" si="18"/>
        <v>0</v>
      </c>
      <c r="AK51" s="134">
        <f t="shared" si="18"/>
        <v>0</v>
      </c>
      <c r="AL51" s="134">
        <f t="shared" si="18"/>
        <v>0</v>
      </c>
      <c r="AM51" s="134">
        <f t="shared" si="18"/>
        <v>0</v>
      </c>
      <c r="AN51" s="134">
        <f t="shared" si="18"/>
        <v>0</v>
      </c>
      <c r="AO51" s="134">
        <f t="shared" si="18"/>
        <v>0</v>
      </c>
      <c r="AP51" s="134">
        <f t="shared" si="18"/>
        <v>0</v>
      </c>
      <c r="AQ51" s="90"/>
      <c r="AR51" s="112"/>
      <c r="AS51" s="55"/>
      <c r="AT51" s="35"/>
      <c r="AU51" s="91"/>
    </row>
    <row r="52" s="9" customFormat="1" ht="83.25" customHeight="1" spans="1:66">
      <c r="A52" s="23">
        <f>SUBTOTAL(3,C$9:C52)</f>
        <v>36</v>
      </c>
      <c r="B52" s="55" t="s">
        <v>1852</v>
      </c>
      <c r="C52" s="35" t="s">
        <v>79</v>
      </c>
      <c r="D52" s="55" t="s">
        <v>1853</v>
      </c>
      <c r="E52" s="35" t="s">
        <v>112</v>
      </c>
      <c r="F52" s="36">
        <v>6000</v>
      </c>
      <c r="G52" s="36"/>
      <c r="H52" s="81" t="s">
        <v>113</v>
      </c>
      <c r="I52" s="81"/>
      <c r="J52" s="81"/>
      <c r="K52" s="37">
        <v>500</v>
      </c>
      <c r="L52" s="36">
        <v>1000</v>
      </c>
      <c r="M52" s="36"/>
      <c r="N52" s="112" t="s">
        <v>178</v>
      </c>
      <c r="O52" s="134"/>
      <c r="P52" s="134"/>
      <c r="Q52" s="134"/>
      <c r="R52" s="134"/>
      <c r="S52" s="134"/>
      <c r="T52" s="134"/>
      <c r="U52" s="134"/>
      <c r="V52" s="134"/>
      <c r="W52" s="134"/>
      <c r="X52" s="674"/>
      <c r="Y52" s="90"/>
      <c r="Z52" s="132">
        <v>20</v>
      </c>
      <c r="AA52" s="132">
        <v>20</v>
      </c>
      <c r="AB52" s="132"/>
      <c r="AC52" s="132"/>
      <c r="AD52" s="132"/>
      <c r="AE52" s="132"/>
      <c r="AF52" s="132"/>
      <c r="AG52" s="132"/>
      <c r="AH52" s="132"/>
      <c r="AI52" s="132"/>
      <c r="AJ52" s="132"/>
      <c r="AK52" s="132"/>
      <c r="AL52" s="132"/>
      <c r="AM52" s="132"/>
      <c r="AN52" s="132"/>
      <c r="AO52" s="132"/>
      <c r="AP52" s="132"/>
      <c r="AQ52" s="90"/>
      <c r="AR52" s="34" t="s">
        <v>1854</v>
      </c>
      <c r="AS52" s="55" t="s">
        <v>1855</v>
      </c>
      <c r="AT52" s="35" t="s">
        <v>269</v>
      </c>
      <c r="AU52" s="93"/>
      <c r="AV52" s="600"/>
      <c r="AW52" s="840"/>
      <c r="AX52" s="840"/>
      <c r="AY52" s="840"/>
      <c r="AZ52" s="840"/>
      <c r="BA52" s="529"/>
      <c r="BB52" s="600"/>
      <c r="BC52" s="600"/>
      <c r="BD52" s="600"/>
      <c r="BE52" s="529"/>
      <c r="BF52" s="529"/>
      <c r="BG52" s="529"/>
      <c r="BI52" s="600"/>
      <c r="BJ52" s="201"/>
      <c r="BK52" s="201"/>
      <c r="BM52" s="201"/>
      <c r="BN52" s="7"/>
    </row>
    <row r="53" s="9" customFormat="1" ht="30.75" customHeight="1" spans="1:66">
      <c r="A53" s="551" t="s">
        <v>448</v>
      </c>
      <c r="B53" s="557" t="str">
        <f>"民政（"&amp;SUBTOTAL(3,C54:C56)&amp;"个）"</f>
        <v>民政（3个）</v>
      </c>
      <c r="C53" s="557"/>
      <c r="D53" s="557"/>
      <c r="E53" s="35"/>
      <c r="F53" s="134">
        <f>SUBTOTAL(9,F54:F56)</f>
        <v>47599</v>
      </c>
      <c r="G53" s="134">
        <f t="shared" ref="G53:L53" si="19">SUBTOTAL(9,G54:G56)</f>
        <v>8852</v>
      </c>
      <c r="H53" s="134"/>
      <c r="I53" s="134">
        <f t="shared" si="19"/>
        <v>1300</v>
      </c>
      <c r="J53" s="134">
        <f t="shared" si="19"/>
        <v>3500</v>
      </c>
      <c r="K53" s="134">
        <f t="shared" si="19"/>
        <v>6250</v>
      </c>
      <c r="L53" s="134">
        <f t="shared" si="19"/>
        <v>14000</v>
      </c>
      <c r="M53" s="134">
        <f>SUBTOTAL(9,M54:M55)</f>
        <v>0</v>
      </c>
      <c r="N53" s="134"/>
      <c r="O53" s="134">
        <f t="shared" ref="O53:AP53" si="20">SUBTOTAL(9,O54:O55)</f>
        <v>0</v>
      </c>
      <c r="P53" s="134">
        <f t="shared" si="20"/>
        <v>0</v>
      </c>
      <c r="Q53" s="134">
        <f t="shared" si="20"/>
        <v>0</v>
      </c>
      <c r="R53" s="134">
        <f t="shared" si="20"/>
        <v>0</v>
      </c>
      <c r="S53" s="134">
        <f t="shared" si="20"/>
        <v>0</v>
      </c>
      <c r="T53" s="134">
        <f t="shared" si="20"/>
        <v>0</v>
      </c>
      <c r="U53" s="134">
        <f t="shared" si="20"/>
        <v>0</v>
      </c>
      <c r="V53" s="134">
        <f t="shared" si="20"/>
        <v>0</v>
      </c>
      <c r="W53" s="134">
        <f t="shared" si="20"/>
        <v>0</v>
      </c>
      <c r="X53" s="134">
        <f t="shared" si="20"/>
        <v>0</v>
      </c>
      <c r="Y53" s="134">
        <f t="shared" si="20"/>
        <v>0</v>
      </c>
      <c r="Z53" s="134">
        <f t="shared" si="20"/>
        <v>780</v>
      </c>
      <c r="AA53" s="134">
        <f t="shared" si="20"/>
        <v>280</v>
      </c>
      <c r="AB53" s="134">
        <f t="shared" si="20"/>
        <v>500</v>
      </c>
      <c r="AC53" s="134">
        <f t="shared" si="20"/>
        <v>280</v>
      </c>
      <c r="AD53" s="134">
        <f t="shared" si="20"/>
        <v>280</v>
      </c>
      <c r="AE53" s="134">
        <f t="shared" si="20"/>
        <v>0</v>
      </c>
      <c r="AF53" s="134">
        <f t="shared" si="20"/>
        <v>0</v>
      </c>
      <c r="AG53" s="134">
        <f t="shared" si="20"/>
        <v>0</v>
      </c>
      <c r="AH53" s="134">
        <f t="shared" si="20"/>
        <v>0</v>
      </c>
      <c r="AI53" s="134">
        <f t="shared" si="20"/>
        <v>815</v>
      </c>
      <c r="AJ53" s="134">
        <f t="shared" si="20"/>
        <v>390</v>
      </c>
      <c r="AK53" s="134">
        <f t="shared" si="20"/>
        <v>425</v>
      </c>
      <c r="AL53" s="134">
        <f t="shared" si="20"/>
        <v>0</v>
      </c>
      <c r="AM53" s="134">
        <f t="shared" si="20"/>
        <v>0</v>
      </c>
      <c r="AN53" s="134">
        <f t="shared" si="20"/>
        <v>0</v>
      </c>
      <c r="AO53" s="134">
        <f t="shared" si="20"/>
        <v>0</v>
      </c>
      <c r="AP53" s="134">
        <f t="shared" si="20"/>
        <v>0</v>
      </c>
      <c r="AQ53" s="90"/>
      <c r="AR53" s="34"/>
      <c r="AS53" s="55"/>
      <c r="AT53" s="35"/>
      <c r="AU53" s="93"/>
      <c r="AV53" s="600"/>
      <c r="AW53" s="840"/>
      <c r="AX53" s="840"/>
      <c r="AY53" s="840"/>
      <c r="AZ53" s="840"/>
      <c r="BA53" s="529"/>
      <c r="BB53" s="600"/>
      <c r="BC53" s="600"/>
      <c r="BD53" s="600"/>
      <c r="BE53" s="529"/>
      <c r="BF53" s="529"/>
      <c r="BG53" s="529"/>
      <c r="BI53" s="600"/>
      <c r="BJ53" s="201"/>
      <c r="BK53" s="201"/>
      <c r="BM53" s="201"/>
      <c r="BN53" s="7"/>
    </row>
    <row r="54" s="9" customFormat="1" ht="80.1" customHeight="1" spans="1:66">
      <c r="A54" s="23">
        <f>SUBTOTAL(3,C$9:C54)</f>
        <v>37</v>
      </c>
      <c r="B54" s="55" t="s">
        <v>1856</v>
      </c>
      <c r="C54" s="35" t="s">
        <v>79</v>
      </c>
      <c r="D54" s="55" t="s">
        <v>1857</v>
      </c>
      <c r="E54" s="35" t="s">
        <v>81</v>
      </c>
      <c r="F54" s="36">
        <v>20000</v>
      </c>
      <c r="G54" s="36"/>
      <c r="H54" s="81" t="s">
        <v>353</v>
      </c>
      <c r="I54" s="37">
        <v>600</v>
      </c>
      <c r="J54" s="37">
        <v>2000</v>
      </c>
      <c r="K54" s="37">
        <v>4000</v>
      </c>
      <c r="L54" s="36">
        <v>6000</v>
      </c>
      <c r="M54" s="36"/>
      <c r="N54" s="112" t="s">
        <v>1858</v>
      </c>
      <c r="O54" s="134"/>
      <c r="P54" s="134"/>
      <c r="Q54" s="134"/>
      <c r="R54" s="134"/>
      <c r="S54" s="134"/>
      <c r="T54" s="134"/>
      <c r="U54" s="134"/>
      <c r="V54" s="134"/>
      <c r="W54" s="134"/>
      <c r="X54" s="674"/>
      <c r="Y54" s="90"/>
      <c r="Z54" s="132">
        <v>500</v>
      </c>
      <c r="AA54" s="132"/>
      <c r="AB54" s="132">
        <v>500</v>
      </c>
      <c r="AC54" s="132"/>
      <c r="AD54" s="132"/>
      <c r="AE54" s="132"/>
      <c r="AF54" s="132"/>
      <c r="AG54" s="132"/>
      <c r="AH54" s="132"/>
      <c r="AI54" s="132">
        <v>500</v>
      </c>
      <c r="AJ54" s="132">
        <v>80</v>
      </c>
      <c r="AK54" s="132">
        <v>420</v>
      </c>
      <c r="AL54" s="132"/>
      <c r="AM54" s="132"/>
      <c r="AN54" s="132"/>
      <c r="AO54" s="132"/>
      <c r="AP54" s="132"/>
      <c r="AQ54" s="90"/>
      <c r="AR54" s="112" t="s">
        <v>117</v>
      </c>
      <c r="AS54" s="55" t="s">
        <v>1859</v>
      </c>
      <c r="AT54" s="35" t="s">
        <v>269</v>
      </c>
      <c r="AU54" s="93"/>
      <c r="AV54" s="600"/>
      <c r="AW54" s="840"/>
      <c r="AX54" s="840"/>
      <c r="AY54" s="840"/>
      <c r="AZ54" s="840"/>
      <c r="BA54" s="529"/>
      <c r="BB54" s="600"/>
      <c r="BC54" s="600"/>
      <c r="BD54" s="600"/>
      <c r="BE54" s="529"/>
      <c r="BF54" s="529"/>
      <c r="BG54" s="529"/>
      <c r="BI54" s="600"/>
      <c r="BJ54" s="201"/>
      <c r="BK54" s="201"/>
      <c r="BM54" s="201"/>
      <c r="BN54" s="7"/>
    </row>
    <row r="55" ht="80.1" customHeight="1" spans="1:47">
      <c r="A55" s="23">
        <f>SUBTOTAL(3,C$9:C55)</f>
        <v>38</v>
      </c>
      <c r="B55" s="55" t="s">
        <v>1860</v>
      </c>
      <c r="C55" s="35" t="s">
        <v>562</v>
      </c>
      <c r="D55" s="55" t="s">
        <v>1861</v>
      </c>
      <c r="E55" s="35" t="s">
        <v>575</v>
      </c>
      <c r="F55" s="36">
        <v>15599</v>
      </c>
      <c r="G55" s="36">
        <v>8852</v>
      </c>
      <c r="H55" s="134"/>
      <c r="I55" s="156">
        <v>700</v>
      </c>
      <c r="J55" s="156">
        <v>1500</v>
      </c>
      <c r="K55" s="156">
        <v>2250</v>
      </c>
      <c r="L55" s="36">
        <v>3000</v>
      </c>
      <c r="M55" s="36"/>
      <c r="N55" s="112" t="s">
        <v>1862</v>
      </c>
      <c r="O55" s="134"/>
      <c r="P55" s="134"/>
      <c r="Q55" s="134"/>
      <c r="R55" s="134"/>
      <c r="S55" s="134"/>
      <c r="T55" s="134"/>
      <c r="U55" s="134"/>
      <c r="V55" s="134"/>
      <c r="W55" s="134"/>
      <c r="X55" s="674"/>
      <c r="Y55" s="90"/>
      <c r="Z55" s="132">
        <v>280</v>
      </c>
      <c r="AA55" s="132">
        <v>280</v>
      </c>
      <c r="AB55" s="132"/>
      <c r="AC55" s="132">
        <v>280</v>
      </c>
      <c r="AD55" s="132">
        <v>280</v>
      </c>
      <c r="AE55" s="132"/>
      <c r="AF55" s="132"/>
      <c r="AG55" s="132"/>
      <c r="AH55" s="132"/>
      <c r="AI55" s="132">
        <v>315</v>
      </c>
      <c r="AJ55" s="132">
        <v>310</v>
      </c>
      <c r="AK55" s="132">
        <v>5</v>
      </c>
      <c r="AL55" s="132"/>
      <c r="AM55" s="132"/>
      <c r="AN55" s="132"/>
      <c r="AO55" s="132"/>
      <c r="AP55" s="132"/>
      <c r="AQ55" s="90"/>
      <c r="AR55" s="90" t="s">
        <v>727</v>
      </c>
      <c r="AS55" s="55" t="s">
        <v>1863</v>
      </c>
      <c r="AT55" s="35" t="s">
        <v>359</v>
      </c>
      <c r="AU55" s="91"/>
    </row>
    <row r="56" s="9" customFormat="1" ht="80.1" customHeight="1" spans="1:66">
      <c r="A56" s="23">
        <f>SUBTOTAL(3,C$9:C56)</f>
        <v>39</v>
      </c>
      <c r="B56" s="55" t="s">
        <v>1864</v>
      </c>
      <c r="C56" s="35" t="s">
        <v>79</v>
      </c>
      <c r="D56" s="55" t="s">
        <v>1865</v>
      </c>
      <c r="E56" s="35" t="s">
        <v>112</v>
      </c>
      <c r="F56" s="38">
        <v>12000</v>
      </c>
      <c r="G56" s="38"/>
      <c r="H56" s="81" t="s">
        <v>82</v>
      </c>
      <c r="I56" s="81"/>
      <c r="J56" s="81"/>
      <c r="K56" s="81"/>
      <c r="L56" s="38">
        <v>5000</v>
      </c>
      <c r="M56" s="38"/>
      <c r="N56" s="112" t="s">
        <v>1866</v>
      </c>
      <c r="O56" s="134"/>
      <c r="P56" s="134"/>
      <c r="Q56" s="134"/>
      <c r="R56" s="134"/>
      <c r="S56" s="134"/>
      <c r="T56" s="134"/>
      <c r="U56" s="134"/>
      <c r="V56" s="134"/>
      <c r="W56" s="134"/>
      <c r="X56" s="674"/>
      <c r="Y56" s="90"/>
      <c r="Z56" s="821">
        <v>300</v>
      </c>
      <c r="AA56" s="821">
        <v>103</v>
      </c>
      <c r="AB56" s="821">
        <v>197</v>
      </c>
      <c r="AC56" s="132"/>
      <c r="AD56" s="132"/>
      <c r="AE56" s="132"/>
      <c r="AF56" s="132"/>
      <c r="AG56" s="132"/>
      <c r="AH56" s="132"/>
      <c r="AI56" s="132"/>
      <c r="AJ56" s="132"/>
      <c r="AK56" s="132"/>
      <c r="AL56" s="132"/>
      <c r="AM56" s="132"/>
      <c r="AN56" s="132"/>
      <c r="AO56" s="132"/>
      <c r="AP56" s="132"/>
      <c r="AQ56" s="90"/>
      <c r="AR56" s="112" t="s">
        <v>1867</v>
      </c>
      <c r="AS56" s="55" t="s">
        <v>1868</v>
      </c>
      <c r="AT56" s="35" t="s">
        <v>375</v>
      </c>
      <c r="AU56" s="55"/>
      <c r="AV56" s="600"/>
      <c r="AW56" s="840"/>
      <c r="AX56" s="840"/>
      <c r="AY56" s="840"/>
      <c r="AZ56" s="840"/>
      <c r="BA56" s="529"/>
      <c r="BB56" s="600"/>
      <c r="BC56" s="600"/>
      <c r="BD56" s="600"/>
      <c r="BE56" s="529"/>
      <c r="BF56" s="529"/>
      <c r="BG56" s="529"/>
      <c r="BI56" s="600"/>
      <c r="BJ56" s="201"/>
      <c r="BK56" s="201"/>
      <c r="BM56" s="201"/>
      <c r="BN56" s="7"/>
    </row>
    <row r="57" ht="32.25" customHeight="1" spans="1:47">
      <c r="A57" s="551" t="s">
        <v>743</v>
      </c>
      <c r="B57" s="557" t="str">
        <f>"其他（"&amp;SUBTOTAL(3,C52:C52)&amp;"个）"</f>
        <v>其他（1个）</v>
      </c>
      <c r="C57" s="557"/>
      <c r="D57" s="557"/>
      <c r="E57" s="35"/>
      <c r="F57" s="134">
        <f t="shared" ref="F57:AP57" si="21">SUBTOTAL(9,F58:F58)</f>
        <v>18000</v>
      </c>
      <c r="G57" s="134">
        <f t="shared" si="21"/>
        <v>5300</v>
      </c>
      <c r="H57" s="134"/>
      <c r="I57" s="134">
        <f t="shared" si="21"/>
        <v>1500</v>
      </c>
      <c r="J57" s="134">
        <f t="shared" si="21"/>
        <v>3200</v>
      </c>
      <c r="K57" s="134">
        <f t="shared" si="21"/>
        <v>5000</v>
      </c>
      <c r="L57" s="134">
        <f t="shared" si="21"/>
        <v>5000</v>
      </c>
      <c r="M57" s="134">
        <f t="shared" si="21"/>
        <v>0</v>
      </c>
      <c r="N57" s="134"/>
      <c r="O57" s="134">
        <f t="shared" si="21"/>
        <v>0</v>
      </c>
      <c r="P57" s="134">
        <f t="shared" si="21"/>
        <v>0</v>
      </c>
      <c r="Q57" s="134">
        <f t="shared" si="21"/>
        <v>0</v>
      </c>
      <c r="R57" s="134">
        <f t="shared" si="21"/>
        <v>0</v>
      </c>
      <c r="S57" s="134">
        <f t="shared" si="21"/>
        <v>0</v>
      </c>
      <c r="T57" s="134">
        <f t="shared" si="21"/>
        <v>0</v>
      </c>
      <c r="U57" s="134">
        <f t="shared" si="21"/>
        <v>0</v>
      </c>
      <c r="V57" s="134">
        <f t="shared" si="21"/>
        <v>0</v>
      </c>
      <c r="W57" s="134">
        <f t="shared" si="21"/>
        <v>0</v>
      </c>
      <c r="X57" s="134">
        <f t="shared" si="21"/>
        <v>0</v>
      </c>
      <c r="Y57" s="134">
        <f t="shared" si="21"/>
        <v>0</v>
      </c>
      <c r="Z57" s="134">
        <f t="shared" si="21"/>
        <v>30</v>
      </c>
      <c r="AA57" s="134">
        <f t="shared" si="21"/>
        <v>30</v>
      </c>
      <c r="AB57" s="134">
        <f t="shared" si="21"/>
        <v>0</v>
      </c>
      <c r="AC57" s="134">
        <f t="shared" si="21"/>
        <v>0</v>
      </c>
      <c r="AD57" s="134">
        <f t="shared" si="21"/>
        <v>0</v>
      </c>
      <c r="AE57" s="134">
        <f t="shared" si="21"/>
        <v>0</v>
      </c>
      <c r="AF57" s="134">
        <f t="shared" si="21"/>
        <v>0</v>
      </c>
      <c r="AG57" s="134">
        <f t="shared" si="21"/>
        <v>0</v>
      </c>
      <c r="AH57" s="134">
        <f t="shared" si="21"/>
        <v>0</v>
      </c>
      <c r="AI57" s="134">
        <f t="shared" si="21"/>
        <v>0</v>
      </c>
      <c r="AJ57" s="134">
        <f t="shared" si="21"/>
        <v>0</v>
      </c>
      <c r="AK57" s="134">
        <f t="shared" si="21"/>
        <v>0</v>
      </c>
      <c r="AL57" s="134">
        <f t="shared" si="21"/>
        <v>0</v>
      </c>
      <c r="AM57" s="134">
        <f t="shared" si="21"/>
        <v>0</v>
      </c>
      <c r="AN57" s="134">
        <f t="shared" si="21"/>
        <v>0</v>
      </c>
      <c r="AO57" s="134">
        <f t="shared" si="21"/>
        <v>0</v>
      </c>
      <c r="AP57" s="134">
        <f t="shared" si="21"/>
        <v>0</v>
      </c>
      <c r="AQ57" s="90"/>
      <c r="AR57" s="90"/>
      <c r="AS57" s="55"/>
      <c r="AT57" s="35"/>
      <c r="AU57" s="91"/>
    </row>
    <row r="58" ht="87" customHeight="1" spans="1:47">
      <c r="A58" s="23">
        <f>SUBTOTAL(3,C$9:C58)</f>
        <v>40</v>
      </c>
      <c r="B58" s="55" t="s">
        <v>1869</v>
      </c>
      <c r="C58" s="35" t="s">
        <v>562</v>
      </c>
      <c r="D58" s="830" t="s">
        <v>1870</v>
      </c>
      <c r="E58" s="35" t="s">
        <v>575</v>
      </c>
      <c r="F58" s="35">
        <v>18000</v>
      </c>
      <c r="G58" s="35">
        <v>5300</v>
      </c>
      <c r="H58" s="134"/>
      <c r="I58" s="67">
        <v>1500</v>
      </c>
      <c r="J58" s="67">
        <v>3200</v>
      </c>
      <c r="K58" s="67">
        <v>5000</v>
      </c>
      <c r="L58" s="35">
        <v>5000</v>
      </c>
      <c r="M58" s="35"/>
      <c r="N58" s="123" t="s">
        <v>1458</v>
      </c>
      <c r="O58" s="134"/>
      <c r="P58" s="134"/>
      <c r="Q58" s="134"/>
      <c r="R58" s="134"/>
      <c r="S58" s="134"/>
      <c r="T58" s="134"/>
      <c r="U58" s="134"/>
      <c r="V58" s="134"/>
      <c r="W58" s="134"/>
      <c r="X58" s="674"/>
      <c r="Y58" s="90"/>
      <c r="Z58" s="132">
        <v>30</v>
      </c>
      <c r="AA58" s="132">
        <v>30</v>
      </c>
      <c r="AB58" s="132"/>
      <c r="AC58" s="132"/>
      <c r="AD58" s="132"/>
      <c r="AE58" s="132"/>
      <c r="AF58" s="132"/>
      <c r="AG58" s="132"/>
      <c r="AH58" s="132"/>
      <c r="AI58" s="132"/>
      <c r="AJ58" s="132"/>
      <c r="AK58" s="132"/>
      <c r="AL58" s="132"/>
      <c r="AM58" s="132"/>
      <c r="AN58" s="132"/>
      <c r="AO58" s="132"/>
      <c r="AP58" s="132"/>
      <c r="AQ58" s="90"/>
      <c r="AR58" s="90" t="s">
        <v>117</v>
      </c>
      <c r="AS58" s="839" t="s">
        <v>1871</v>
      </c>
      <c r="AT58" s="35" t="s">
        <v>317</v>
      </c>
      <c r="AU58" s="91"/>
    </row>
    <row r="59" ht="13.5" spans="3:42">
      <c r="C59" s="179">
        <f>SUBTOTAL(3,C9:C58)</f>
        <v>40</v>
      </c>
      <c r="D59" s="179"/>
      <c r="E59" s="179">
        <f>SUBTOTAL(3,E9:E58)</f>
        <v>40</v>
      </c>
      <c r="F59" s="179">
        <f t="shared" ref="F59:M59" si="22">SUBTOTAL(9,F9:F58)</f>
        <v>1082562.34</v>
      </c>
      <c r="G59" s="179">
        <f t="shared" si="22"/>
        <v>257057</v>
      </c>
      <c r="H59" s="179"/>
      <c r="I59" s="179">
        <f t="shared" si="22"/>
        <v>48200</v>
      </c>
      <c r="J59" s="179">
        <f t="shared" si="22"/>
        <v>116440</v>
      </c>
      <c r="K59" s="179">
        <f t="shared" si="22"/>
        <v>203080</v>
      </c>
      <c r="L59" s="179">
        <f t="shared" si="22"/>
        <v>293261</v>
      </c>
      <c r="M59" s="179">
        <f t="shared" si="22"/>
        <v>0</v>
      </c>
      <c r="N59" s="179"/>
      <c r="O59" s="179">
        <f t="shared" ref="O59:AP59" si="23">SUBTOTAL(9,O9:O58)</f>
        <v>0</v>
      </c>
      <c r="P59" s="179">
        <f t="shared" si="23"/>
        <v>0</v>
      </c>
      <c r="Q59" s="179">
        <f t="shared" si="23"/>
        <v>0</v>
      </c>
      <c r="R59" s="179">
        <f t="shared" si="23"/>
        <v>0</v>
      </c>
      <c r="S59" s="179">
        <f t="shared" si="23"/>
        <v>0</v>
      </c>
      <c r="T59" s="179">
        <f t="shared" si="23"/>
        <v>0</v>
      </c>
      <c r="U59" s="179">
        <f t="shared" si="23"/>
        <v>0</v>
      </c>
      <c r="V59" s="179">
        <f t="shared" si="23"/>
        <v>0</v>
      </c>
      <c r="W59" s="179">
        <f t="shared" si="23"/>
        <v>0</v>
      </c>
      <c r="X59" s="179">
        <f t="shared" si="23"/>
        <v>0</v>
      </c>
      <c r="Y59" s="179">
        <f t="shared" si="23"/>
        <v>0</v>
      </c>
      <c r="Z59" s="179">
        <f t="shared" si="23"/>
        <v>14182.137</v>
      </c>
      <c r="AA59" s="179">
        <f t="shared" si="23"/>
        <v>11824.097</v>
      </c>
      <c r="AB59" s="179">
        <f t="shared" si="23"/>
        <v>2294</v>
      </c>
      <c r="AC59" s="179">
        <f t="shared" si="23"/>
        <v>810</v>
      </c>
      <c r="AD59" s="179">
        <f t="shared" si="23"/>
        <v>560</v>
      </c>
      <c r="AE59" s="179">
        <f t="shared" si="23"/>
        <v>152</v>
      </c>
      <c r="AF59" s="179">
        <f t="shared" si="23"/>
        <v>0</v>
      </c>
      <c r="AG59" s="179">
        <f t="shared" si="23"/>
        <v>0</v>
      </c>
      <c r="AH59" s="179">
        <f t="shared" si="23"/>
        <v>0</v>
      </c>
      <c r="AI59" s="179">
        <f t="shared" si="23"/>
        <v>3272.62</v>
      </c>
      <c r="AJ59" s="179">
        <f t="shared" si="23"/>
        <v>2002.1</v>
      </c>
      <c r="AK59" s="179">
        <f t="shared" si="23"/>
        <v>1270.52</v>
      </c>
      <c r="AL59" s="179">
        <f t="shared" si="23"/>
        <v>18864</v>
      </c>
      <c r="AM59" s="179">
        <f t="shared" si="23"/>
        <v>16417</v>
      </c>
      <c r="AN59" s="179">
        <f t="shared" si="23"/>
        <v>10562</v>
      </c>
      <c r="AO59" s="179">
        <f t="shared" si="23"/>
        <v>27300</v>
      </c>
      <c r="AP59" s="179">
        <f t="shared" si="23"/>
        <v>32973</v>
      </c>
    </row>
  </sheetData>
  <autoFilter ref="A6:BQ57">
    <extLst/>
  </autoFilter>
  <mergeCells count="55">
    <mergeCell ref="A1:B1"/>
    <mergeCell ref="A2:AU2"/>
    <mergeCell ref="A3:B3"/>
    <mergeCell ref="AS3:AT3"/>
    <mergeCell ref="H4:N4"/>
    <mergeCell ref="O4:P4"/>
    <mergeCell ref="Q4:W4"/>
    <mergeCell ref="Z4:AB4"/>
    <mergeCell ref="AC4:AE4"/>
    <mergeCell ref="AF4:AH4"/>
    <mergeCell ref="AI4:AK4"/>
    <mergeCell ref="AL4:AP4"/>
    <mergeCell ref="BE4:BG4"/>
    <mergeCell ref="A7:D7"/>
    <mergeCell ref="B8:D8"/>
    <mergeCell ref="B18:D18"/>
    <mergeCell ref="B19:D19"/>
    <mergeCell ref="B33:D33"/>
    <mergeCell ref="B36:D36"/>
    <mergeCell ref="B38:D38"/>
    <mergeCell ref="B46:D46"/>
    <mergeCell ref="B47:D47"/>
    <mergeCell ref="B51:D51"/>
    <mergeCell ref="B53:D53"/>
    <mergeCell ref="B57:D57"/>
    <mergeCell ref="A4:A5"/>
    <mergeCell ref="B4:B5"/>
    <mergeCell ref="C4:C5"/>
    <mergeCell ref="D4:D5"/>
    <mergeCell ref="E4:E5"/>
    <mergeCell ref="F4:F5"/>
    <mergeCell ref="G4:G5"/>
    <mergeCell ref="X4:X5"/>
    <mergeCell ref="Y4:Y5"/>
    <mergeCell ref="AQ4:AQ5"/>
    <mergeCell ref="AR4:AR5"/>
    <mergeCell ref="AS4:AS5"/>
    <mergeCell ref="AT4:AT5"/>
    <mergeCell ref="AU4:AU5"/>
    <mergeCell ref="AV4:AV5"/>
    <mergeCell ref="AW4:AW5"/>
    <mergeCell ref="AX4:AX5"/>
    <mergeCell ref="AY4:AY5"/>
    <mergeCell ref="AZ4:AZ5"/>
    <mergeCell ref="BA4:BA5"/>
    <mergeCell ref="BB4:BB5"/>
    <mergeCell ref="BC4:BC5"/>
    <mergeCell ref="BD4:BD5"/>
    <mergeCell ref="BH4:BH5"/>
    <mergeCell ref="BI4:BI5"/>
    <mergeCell ref="BJ4:BJ5"/>
    <mergeCell ref="BK4:BK5"/>
    <mergeCell ref="BL4:BL5"/>
    <mergeCell ref="BM4:BM5"/>
    <mergeCell ref="BN4:BN5"/>
  </mergeCells>
  <printOptions horizontalCentered="1"/>
  <pageMargins left="0.669291338582677" right="0.47244094488189" top="0.748031496062992" bottom="0.748031496062992" header="0.31496062992126" footer="0.31496062992126"/>
  <pageSetup paperSize="9" scale="65" firstPageNumber="4294963191" fitToHeight="0" orientation="landscape" useFirstPageNumber="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9"/>
    <pageSetUpPr fitToPage="1"/>
  </sheetPr>
  <dimension ref="A1:CC217"/>
  <sheetViews>
    <sheetView showZeros="0" zoomScale="70" zoomScaleNormal="70" workbookViewId="0">
      <pane xSplit="2" ySplit="5" topLeftCell="C95" activePane="bottomRight" state="frozen"/>
      <selection/>
      <selection pane="topRight"/>
      <selection pane="bottomLeft"/>
      <selection pane="bottomRight" activeCell="D100" sqref="D100"/>
    </sheetView>
  </sheetViews>
  <sheetFormatPr defaultColWidth="10.2857142857143" defaultRowHeight="14.25"/>
  <cols>
    <col min="1" max="1" width="8.28571428571429" style="530" customWidth="1"/>
    <col min="2" max="2" width="22.4285714285714" style="531" customWidth="1"/>
    <col min="3" max="3" width="6.14285714285714" style="201" customWidth="1"/>
    <col min="4" max="4" width="35.7142857142857" style="206" customWidth="1"/>
    <col min="5" max="5" width="6.42857142857143" style="201" customWidth="1"/>
    <col min="6" max="6" width="14.1428571428571" style="533" customWidth="1"/>
    <col min="7" max="7" width="14.1428571428571" style="533" hidden="1" customWidth="1"/>
    <col min="8" max="13" width="12.7142857142857" style="533" customWidth="1"/>
    <col min="14" max="14" width="21.7142857142857" style="96" customWidth="1"/>
    <col min="15" max="15" width="12.7142857142857" style="534" hidden="1" customWidth="1"/>
    <col min="16" max="16" width="12.7142857142857" style="533" hidden="1" customWidth="1"/>
    <col min="17" max="23" width="4.71428571428571" style="533" hidden="1" customWidth="1"/>
    <col min="24" max="24" width="25.5714285714286" style="536" hidden="1" customWidth="1"/>
    <col min="25" max="25" width="21.4285714285714" style="536" hidden="1" customWidth="1"/>
    <col min="26" max="26" width="7.71428571428571" style="535" hidden="1" customWidth="1"/>
    <col min="27" max="27" width="7.57142857142857" style="535" hidden="1" customWidth="1"/>
    <col min="28" max="28" width="7.28571428571429" style="535" hidden="1" customWidth="1"/>
    <col min="29" max="29" width="7.71428571428571" style="535" hidden="1" customWidth="1"/>
    <col min="30" max="30" width="7.14285714285714" style="535" hidden="1" customWidth="1"/>
    <col min="31" max="31" width="6.71428571428571" style="535" hidden="1" customWidth="1"/>
    <col min="32" max="32" width="7.14285714285714" style="535" hidden="1" customWidth="1"/>
    <col min="33" max="33" width="7.57142857142857" style="535" hidden="1" customWidth="1"/>
    <col min="34" max="34" width="6.71428571428571" style="535" hidden="1" customWidth="1"/>
    <col min="35" max="36" width="7.28571428571429" style="535" hidden="1" customWidth="1"/>
    <col min="37" max="37" width="6.71428571428571" style="535" hidden="1" customWidth="1"/>
    <col min="38" max="40" width="8.42857142857143" style="535" hidden="1" customWidth="1"/>
    <col min="41" max="41" width="8.57142857142857" style="535" hidden="1" customWidth="1"/>
    <col min="42" max="42" width="8.42857142857143" style="535" hidden="1" customWidth="1"/>
    <col min="43" max="43" width="13.4285714285714" style="536" hidden="1" customWidth="1"/>
    <col min="44" max="44" width="34.4285714285714" style="535" customWidth="1"/>
    <col min="45" max="45" width="16.1428571428571" style="537" customWidth="1"/>
    <col min="46" max="46" width="14.7142857142857" style="538" customWidth="1"/>
    <col min="47" max="47" width="15.7142857142857" style="539" customWidth="1"/>
    <col min="48" max="48" width="27.4285714285714" style="749" hidden="1" customWidth="1"/>
    <col min="49" max="49" width="10.2857142857143" style="201" hidden="1" customWidth="1"/>
    <col min="50" max="53" width="10" style="6" hidden="1" customWidth="1"/>
    <col min="54" max="54" width="10.2857142857143" style="203" hidden="1" customWidth="1"/>
    <col min="55" max="55" width="10" style="201" hidden="1" customWidth="1"/>
    <col min="56" max="56" width="14" style="201" hidden="1" customWidth="1"/>
    <col min="57" max="57" width="9.14285714285714" style="201" hidden="1" customWidth="1"/>
    <col min="58" max="60" width="11" style="201" hidden="1" customWidth="1"/>
    <col min="61" max="61" width="18.7142857142857" style="541" hidden="1" customWidth="1"/>
    <col min="62" max="62" width="14" style="201" hidden="1" customWidth="1"/>
    <col min="63" max="73" width="10.2857142857143" style="4" hidden="1" customWidth="1"/>
    <col min="74" max="74" width="18.7142857142857" style="541" hidden="1" customWidth="1"/>
    <col min="75" max="75" width="10.2857142857143" style="620" hidden="1" customWidth="1"/>
    <col min="76" max="76" width="10.2857142857143" style="4" hidden="1" customWidth="1"/>
    <col min="77" max="77" width="10.2857142857143" style="206" hidden="1" customWidth="1"/>
    <col min="78" max="78" width="11" style="225" hidden="1" customWidth="1"/>
    <col min="79" max="79" width="7.28571428571429" style="750" customWidth="1"/>
    <col min="80" max="80" width="22.7142857142857" style="206" customWidth="1"/>
    <col min="81" max="81" width="19.1428571428571" style="206" customWidth="1"/>
    <col min="82" max="16384" width="10.2857142857143" style="4"/>
  </cols>
  <sheetData>
    <row r="1" ht="25.15" customHeight="1" spans="1:75">
      <c r="A1" s="542"/>
      <c r="B1" s="542"/>
      <c r="C1" s="542"/>
      <c r="D1" s="542"/>
      <c r="E1" s="542"/>
      <c r="F1" s="542"/>
      <c r="G1" s="542"/>
      <c r="H1" s="542"/>
      <c r="I1" s="542"/>
      <c r="J1" s="542"/>
      <c r="K1" s="542"/>
      <c r="L1" s="542"/>
      <c r="M1" s="542"/>
      <c r="N1" s="542"/>
      <c r="O1" s="542"/>
      <c r="P1" s="542"/>
      <c r="Q1" s="542"/>
      <c r="R1" s="542"/>
      <c r="S1" s="542"/>
      <c r="T1" s="542"/>
      <c r="U1" s="542"/>
      <c r="V1" s="542"/>
      <c r="W1" s="542"/>
      <c r="X1" s="569"/>
      <c r="Y1" s="542"/>
      <c r="Z1" s="568"/>
      <c r="AA1" s="568"/>
      <c r="AB1" s="568"/>
      <c r="AC1" s="568"/>
      <c r="AD1" s="568"/>
      <c r="AE1" s="568"/>
      <c r="AF1" s="568"/>
      <c r="AG1" s="568"/>
      <c r="AH1" s="568"/>
      <c r="AI1" s="568"/>
      <c r="AJ1" s="568"/>
      <c r="AK1" s="568"/>
      <c r="AL1" s="568"/>
      <c r="AM1" s="568"/>
      <c r="AN1" s="568"/>
      <c r="AO1" s="568"/>
      <c r="AP1" s="568"/>
      <c r="AQ1" s="542"/>
      <c r="AR1" s="568"/>
      <c r="BI1" s="7"/>
      <c r="BK1" s="201"/>
      <c r="BL1" s="201"/>
      <c r="BM1" s="599"/>
      <c r="BN1" s="599"/>
      <c r="BO1" s="599"/>
      <c r="BP1" s="201"/>
      <c r="BQ1" s="201"/>
      <c r="BR1" s="201"/>
      <c r="BS1" s="201"/>
      <c r="BT1" s="201"/>
      <c r="BU1" s="201"/>
      <c r="BV1" s="7"/>
      <c r="BW1" s="4"/>
    </row>
    <row r="2" ht="55.9" customHeight="1" spans="1:74">
      <c r="A2" s="543" t="s">
        <v>1872</v>
      </c>
      <c r="B2" s="543"/>
      <c r="C2" s="751"/>
      <c r="D2" s="543"/>
      <c r="E2" s="543"/>
      <c r="F2" s="543"/>
      <c r="G2" s="543"/>
      <c r="H2" s="543"/>
      <c r="I2" s="543"/>
      <c r="J2" s="543"/>
      <c r="K2" s="543"/>
      <c r="L2" s="543"/>
      <c r="M2" s="543"/>
      <c r="N2" s="543"/>
      <c r="O2" s="543"/>
      <c r="P2" s="543"/>
      <c r="Q2" s="543"/>
      <c r="R2" s="543"/>
      <c r="S2" s="543"/>
      <c r="T2" s="543"/>
      <c r="U2" s="543"/>
      <c r="V2" s="543"/>
      <c r="W2" s="543"/>
      <c r="X2" s="751"/>
      <c r="Y2" s="751"/>
      <c r="Z2" s="751"/>
      <c r="AA2" s="751"/>
      <c r="AB2" s="751"/>
      <c r="AC2" s="751"/>
      <c r="AD2" s="751"/>
      <c r="AE2" s="751"/>
      <c r="AF2" s="751"/>
      <c r="AG2" s="751"/>
      <c r="AH2" s="751"/>
      <c r="AI2" s="751"/>
      <c r="AJ2" s="751"/>
      <c r="AK2" s="751"/>
      <c r="AL2" s="751"/>
      <c r="AM2" s="751"/>
      <c r="AN2" s="751"/>
      <c r="AO2" s="751"/>
      <c r="AP2" s="751"/>
      <c r="AQ2" s="751"/>
      <c r="AR2" s="751"/>
      <c r="AS2" s="543"/>
      <c r="AT2" s="543"/>
      <c r="AU2" s="543"/>
      <c r="AV2" s="751"/>
      <c r="AW2" s="571"/>
      <c r="AX2" s="597"/>
      <c r="AY2" s="598"/>
      <c r="AZ2" s="598"/>
      <c r="BA2" s="598"/>
      <c r="BB2" s="605"/>
      <c r="BC2" s="599"/>
      <c r="BE2" s="599"/>
      <c r="BF2" s="599"/>
      <c r="BG2" s="599"/>
      <c r="BH2" s="599"/>
      <c r="BI2" s="4"/>
      <c r="BK2" s="201"/>
      <c r="BL2" s="201"/>
      <c r="BM2" s="599"/>
      <c r="BN2" s="599"/>
      <c r="BO2" s="599"/>
      <c r="BP2" s="201"/>
      <c r="BQ2" s="201"/>
      <c r="BR2" s="201"/>
      <c r="BS2" s="201"/>
      <c r="BT2" s="201"/>
      <c r="BU2" s="201"/>
      <c r="BV2" s="4"/>
    </row>
    <row r="3" s="9" customFormat="1" ht="20.65" customHeight="1" spans="1:81">
      <c r="A3" s="545"/>
      <c r="B3" s="546"/>
      <c r="C3" s="547"/>
      <c r="D3" s="662"/>
      <c r="E3" s="547"/>
      <c r="F3" s="549"/>
      <c r="G3" s="549"/>
      <c r="H3" s="550"/>
      <c r="I3" s="550"/>
      <c r="J3" s="550"/>
      <c r="K3" s="550"/>
      <c r="L3" s="550"/>
      <c r="M3" s="550"/>
      <c r="N3" s="677"/>
      <c r="O3" s="572" t="s">
        <v>2</v>
      </c>
      <c r="P3" s="550" t="s">
        <v>2</v>
      </c>
      <c r="Q3" s="550"/>
      <c r="R3" s="550"/>
      <c r="S3" s="550"/>
      <c r="T3" s="550"/>
      <c r="U3" s="550"/>
      <c r="V3" s="550"/>
      <c r="W3" s="550"/>
      <c r="X3" s="673"/>
      <c r="Y3" s="673"/>
      <c r="Z3" s="677"/>
      <c r="AA3" s="677"/>
      <c r="AB3" s="677"/>
      <c r="AC3" s="677"/>
      <c r="AD3" s="677"/>
      <c r="AE3" s="677"/>
      <c r="AF3" s="677"/>
      <c r="AG3" s="677"/>
      <c r="AH3" s="677"/>
      <c r="AI3" s="677"/>
      <c r="AJ3" s="677"/>
      <c r="AK3" s="677"/>
      <c r="AL3" s="677"/>
      <c r="AM3" s="677"/>
      <c r="AN3" s="677"/>
      <c r="AO3" s="677"/>
      <c r="AP3" s="677"/>
      <c r="AQ3" s="550" t="s">
        <v>2</v>
      </c>
      <c r="AR3" s="677"/>
      <c r="AS3" s="587" t="s">
        <v>3</v>
      </c>
      <c r="AT3" s="587"/>
      <c r="AU3" s="588"/>
      <c r="AV3" s="772"/>
      <c r="AW3" s="10"/>
      <c r="AX3" s="10" t="s">
        <v>4</v>
      </c>
      <c r="AY3" s="10" t="s">
        <v>4</v>
      </c>
      <c r="AZ3" s="10" t="s">
        <v>4</v>
      </c>
      <c r="BA3" s="10"/>
      <c r="BB3" s="10" t="s">
        <v>4</v>
      </c>
      <c r="BC3" s="10" t="s">
        <v>4</v>
      </c>
      <c r="BD3" s="10" t="s">
        <v>4</v>
      </c>
      <c r="BE3" s="10" t="s">
        <v>4</v>
      </c>
      <c r="BF3" s="10" t="s">
        <v>4</v>
      </c>
      <c r="BG3" s="10" t="s">
        <v>4</v>
      </c>
      <c r="BH3" s="10" t="s">
        <v>4</v>
      </c>
      <c r="BI3" s="10" t="s">
        <v>4</v>
      </c>
      <c r="BJ3" s="10"/>
      <c r="BK3" s="10"/>
      <c r="BL3" s="10"/>
      <c r="BM3" s="600"/>
      <c r="BN3" s="600"/>
      <c r="BO3" s="201"/>
      <c r="BP3" s="10"/>
      <c r="BQ3" s="10"/>
      <c r="BR3" s="10"/>
      <c r="BS3" s="10"/>
      <c r="BT3" s="10"/>
      <c r="BU3" s="10"/>
      <c r="BV3" s="10"/>
      <c r="BW3" s="622"/>
      <c r="BY3" s="622"/>
      <c r="BZ3" s="623"/>
      <c r="CA3" s="782"/>
      <c r="CB3" s="622"/>
      <c r="CC3" s="622"/>
    </row>
    <row r="4" s="529" customFormat="1" ht="40.15" customHeight="1" spans="1:81">
      <c r="A4" s="551" t="s">
        <v>1695</v>
      </c>
      <c r="B4" s="551" t="s">
        <v>1696</v>
      </c>
      <c r="C4" s="551" t="s">
        <v>1697</v>
      </c>
      <c r="D4" s="551" t="s">
        <v>1698</v>
      </c>
      <c r="E4" s="552" t="s">
        <v>1699</v>
      </c>
      <c r="F4" s="134" t="s">
        <v>1700</v>
      </c>
      <c r="G4" s="752"/>
      <c r="H4" s="553" t="s">
        <v>1702</v>
      </c>
      <c r="I4" s="574"/>
      <c r="J4" s="574"/>
      <c r="K4" s="574"/>
      <c r="L4" s="574"/>
      <c r="M4" s="574"/>
      <c r="N4" s="575"/>
      <c r="O4" s="265" t="s">
        <v>13</v>
      </c>
      <c r="P4" s="265"/>
      <c r="Q4" s="763" t="s">
        <v>14</v>
      </c>
      <c r="R4" s="764"/>
      <c r="S4" s="764"/>
      <c r="T4" s="764"/>
      <c r="U4" s="764"/>
      <c r="V4" s="764"/>
      <c r="W4" s="764"/>
      <c r="X4" s="765" t="s">
        <v>15</v>
      </c>
      <c r="Y4" s="99" t="s">
        <v>16</v>
      </c>
      <c r="Z4" s="330" t="s">
        <v>17</v>
      </c>
      <c r="AA4" s="330"/>
      <c r="AB4" s="330"/>
      <c r="AC4" s="330" t="s">
        <v>18</v>
      </c>
      <c r="AD4" s="330"/>
      <c r="AE4" s="330"/>
      <c r="AF4" s="330" t="s">
        <v>19</v>
      </c>
      <c r="AG4" s="330"/>
      <c r="AH4" s="330"/>
      <c r="AI4" s="330" t="s">
        <v>20</v>
      </c>
      <c r="AJ4" s="330"/>
      <c r="AK4" s="330"/>
      <c r="AL4" s="330" t="s">
        <v>21</v>
      </c>
      <c r="AM4" s="330"/>
      <c r="AN4" s="330"/>
      <c r="AO4" s="330"/>
      <c r="AP4" s="330"/>
      <c r="AQ4" s="99" t="s">
        <v>22</v>
      </c>
      <c r="AR4" s="99" t="s">
        <v>23</v>
      </c>
      <c r="AS4" s="145" t="s">
        <v>1703</v>
      </c>
      <c r="AT4" s="145" t="s">
        <v>1873</v>
      </c>
      <c r="AU4" s="145" t="s">
        <v>1704</v>
      </c>
      <c r="AV4" s="145" t="s">
        <v>26</v>
      </c>
      <c r="AW4" s="601" t="s">
        <v>27</v>
      </c>
      <c r="AX4" s="601" t="s">
        <v>28</v>
      </c>
      <c r="AY4" s="601" t="s">
        <v>29</v>
      </c>
      <c r="AZ4" s="601" t="s">
        <v>30</v>
      </c>
      <c r="BA4" s="601" t="s">
        <v>31</v>
      </c>
      <c r="BB4" s="607" t="s">
        <v>32</v>
      </c>
      <c r="BC4" s="165" t="s">
        <v>33</v>
      </c>
      <c r="BD4" s="157" t="s">
        <v>34</v>
      </c>
      <c r="BE4" s="608" t="s">
        <v>35</v>
      </c>
      <c r="BF4" s="609" t="s">
        <v>35</v>
      </c>
      <c r="BG4" s="610"/>
      <c r="BH4" s="617"/>
      <c r="BI4" s="202" t="s">
        <v>36</v>
      </c>
      <c r="BJ4" s="157" t="s">
        <v>37</v>
      </c>
      <c r="BK4" s="157" t="s">
        <v>38</v>
      </c>
      <c r="BL4" s="157" t="s">
        <v>39</v>
      </c>
      <c r="BM4" s="624" t="s">
        <v>40</v>
      </c>
      <c r="BN4" s="600" t="s">
        <v>41</v>
      </c>
      <c r="BO4" s="781" t="s">
        <v>42</v>
      </c>
      <c r="BP4" s="157" t="s">
        <v>1874</v>
      </c>
      <c r="BQ4" s="157" t="s">
        <v>1875</v>
      </c>
      <c r="BR4" s="157" t="s">
        <v>1876</v>
      </c>
      <c r="BS4" s="157" t="s">
        <v>1877</v>
      </c>
      <c r="BT4" s="157" t="s">
        <v>1878</v>
      </c>
      <c r="BU4" s="157" t="s">
        <v>1879</v>
      </c>
      <c r="BV4" s="783"/>
      <c r="BW4" s="624"/>
      <c r="BX4" s="606" t="s">
        <v>1880</v>
      </c>
      <c r="BY4" s="600" t="s">
        <v>1881</v>
      </c>
      <c r="BZ4" s="625" t="s">
        <v>1882</v>
      </c>
      <c r="CA4" s="784"/>
      <c r="CB4" s="600"/>
      <c r="CC4" s="600"/>
    </row>
    <row r="5" s="529" customFormat="1" ht="40.15" customHeight="1" spans="1:81">
      <c r="A5" s="551"/>
      <c r="B5" s="551"/>
      <c r="C5" s="551"/>
      <c r="D5" s="551"/>
      <c r="E5" s="552"/>
      <c r="F5" s="134"/>
      <c r="G5" s="134"/>
      <c r="H5" s="265" t="s">
        <v>1883</v>
      </c>
      <c r="I5" s="265" t="s">
        <v>1884</v>
      </c>
      <c r="J5" s="265" t="s">
        <v>1885</v>
      </c>
      <c r="K5" s="265" t="s">
        <v>1886</v>
      </c>
      <c r="L5" s="265" t="s">
        <v>1887</v>
      </c>
      <c r="M5" s="265" t="s">
        <v>1888</v>
      </c>
      <c r="N5" s="265" t="s">
        <v>1710</v>
      </c>
      <c r="O5" s="576" t="s">
        <v>50</v>
      </c>
      <c r="P5" s="265" t="s">
        <v>51</v>
      </c>
      <c r="Q5" s="766" t="s">
        <v>52</v>
      </c>
      <c r="R5" s="766" t="s">
        <v>53</v>
      </c>
      <c r="S5" s="766" t="s">
        <v>54</v>
      </c>
      <c r="T5" s="766" t="s">
        <v>55</v>
      </c>
      <c r="U5" s="766" t="s">
        <v>56</v>
      </c>
      <c r="V5" s="766" t="s">
        <v>57</v>
      </c>
      <c r="W5" s="767" t="s">
        <v>58</v>
      </c>
      <c r="X5" s="768"/>
      <c r="Y5" s="99"/>
      <c r="Z5" s="331" t="s">
        <v>59</v>
      </c>
      <c r="AA5" s="331" t="s">
        <v>60</v>
      </c>
      <c r="AB5" s="331" t="s">
        <v>61</v>
      </c>
      <c r="AC5" s="331" t="s">
        <v>62</v>
      </c>
      <c r="AD5" s="331" t="s">
        <v>63</v>
      </c>
      <c r="AE5" s="331" t="s">
        <v>61</v>
      </c>
      <c r="AF5" s="331" t="s">
        <v>64</v>
      </c>
      <c r="AG5" s="331" t="s">
        <v>65</v>
      </c>
      <c r="AH5" s="331" t="s">
        <v>61</v>
      </c>
      <c r="AI5" s="331" t="s">
        <v>66</v>
      </c>
      <c r="AJ5" s="331" t="s">
        <v>67</v>
      </c>
      <c r="AK5" s="331" t="s">
        <v>68</v>
      </c>
      <c r="AL5" s="331" t="s">
        <v>69</v>
      </c>
      <c r="AM5" s="331" t="s">
        <v>70</v>
      </c>
      <c r="AN5" s="331" t="s">
        <v>71</v>
      </c>
      <c r="AO5" s="331" t="s">
        <v>72</v>
      </c>
      <c r="AP5" s="331" t="s">
        <v>73</v>
      </c>
      <c r="AQ5" s="99"/>
      <c r="AR5" s="99"/>
      <c r="AS5" s="145"/>
      <c r="AT5" s="145"/>
      <c r="AU5" s="145"/>
      <c r="AV5" s="145"/>
      <c r="AW5" s="601"/>
      <c r="AX5" s="601"/>
      <c r="AY5" s="601"/>
      <c r="AZ5" s="601"/>
      <c r="BA5" s="601"/>
      <c r="BB5" s="607"/>
      <c r="BC5" s="165"/>
      <c r="BD5" s="157"/>
      <c r="BE5" s="611"/>
      <c r="BF5" s="157" t="s">
        <v>74</v>
      </c>
      <c r="BG5" s="157" t="s">
        <v>75</v>
      </c>
      <c r="BH5" s="157"/>
      <c r="BI5" s="202"/>
      <c r="BJ5" s="611"/>
      <c r="BK5" s="157"/>
      <c r="BL5" s="157"/>
      <c r="BM5" s="624"/>
      <c r="BN5" s="600"/>
      <c r="BO5" s="781"/>
      <c r="BP5" s="157"/>
      <c r="BQ5" s="157"/>
      <c r="BR5" s="157"/>
      <c r="BS5" s="157"/>
      <c r="BT5" s="157"/>
      <c r="BU5" s="157"/>
      <c r="BV5" s="785"/>
      <c r="BW5" s="624"/>
      <c r="BX5" s="606"/>
      <c r="BY5" s="600"/>
      <c r="BZ5" s="625"/>
      <c r="CA5" s="784"/>
      <c r="CB5" s="600"/>
      <c r="CC5" s="600"/>
    </row>
    <row r="6" s="529" customFormat="1" ht="16.15" customHeight="1" spans="1:81">
      <c r="A6" s="551"/>
      <c r="B6" s="554"/>
      <c r="C6" s="551"/>
      <c r="D6" s="554"/>
      <c r="E6" s="552"/>
      <c r="F6" s="134"/>
      <c r="G6" s="134"/>
      <c r="H6" s="265"/>
      <c r="I6" s="265"/>
      <c r="J6" s="265"/>
      <c r="K6" s="265"/>
      <c r="L6" s="265"/>
      <c r="M6" s="265"/>
      <c r="N6" s="664"/>
      <c r="O6" s="576"/>
      <c r="P6" s="265"/>
      <c r="Q6" s="265"/>
      <c r="R6" s="265"/>
      <c r="S6" s="265"/>
      <c r="T6" s="265"/>
      <c r="U6" s="265"/>
      <c r="V6" s="265"/>
      <c r="W6" s="265"/>
      <c r="X6" s="585"/>
      <c r="Y6" s="585"/>
      <c r="Z6" s="577"/>
      <c r="AA6" s="577"/>
      <c r="AB6" s="577"/>
      <c r="AC6" s="577"/>
      <c r="AD6" s="577"/>
      <c r="AE6" s="577"/>
      <c r="AF6" s="577"/>
      <c r="AG6" s="577"/>
      <c r="AH6" s="577"/>
      <c r="AI6" s="577"/>
      <c r="AJ6" s="577"/>
      <c r="AK6" s="577"/>
      <c r="AL6" s="577"/>
      <c r="AM6" s="577"/>
      <c r="AN6" s="577"/>
      <c r="AO6" s="577"/>
      <c r="AP6" s="577"/>
      <c r="AQ6" s="585"/>
      <c r="AR6" s="577"/>
      <c r="AS6" s="590"/>
      <c r="AT6" s="145"/>
      <c r="AU6" s="145"/>
      <c r="AV6" s="773"/>
      <c r="AW6" s="604"/>
      <c r="AX6" s="601"/>
      <c r="AY6" s="601"/>
      <c r="AZ6" s="601"/>
      <c r="BA6" s="601"/>
      <c r="BB6" s="607"/>
      <c r="BC6" s="165"/>
      <c r="BD6" s="157"/>
      <c r="BE6" s="157"/>
      <c r="BF6" s="157"/>
      <c r="BG6" s="157"/>
      <c r="BH6" s="157"/>
      <c r="BI6" s="604"/>
      <c r="BJ6" s="157"/>
      <c r="BK6" s="157"/>
      <c r="BL6" s="157"/>
      <c r="BM6" s="600"/>
      <c r="BN6" s="600"/>
      <c r="BO6" s="201"/>
      <c r="BP6" s="157"/>
      <c r="BQ6" s="157"/>
      <c r="BR6" s="157"/>
      <c r="BS6" s="157"/>
      <c r="BT6" s="157"/>
      <c r="BU6" s="157"/>
      <c r="BV6" s="604"/>
      <c r="BW6" s="600"/>
      <c r="BY6" s="600"/>
      <c r="BZ6" s="625"/>
      <c r="CA6" s="784"/>
      <c r="CB6" s="600"/>
      <c r="CC6" s="600"/>
    </row>
    <row r="7" s="9" customFormat="1" ht="30" customHeight="1" spans="1:74">
      <c r="A7" s="753" t="str">
        <f>"合计（"&amp;SUBTOTAL(3,C9:C213)&amp;"个）"</f>
        <v>合计（168个）</v>
      </c>
      <c r="B7" s="753"/>
      <c r="C7" s="753"/>
      <c r="D7" s="753"/>
      <c r="E7" s="754"/>
      <c r="F7" s="134">
        <f t="shared" ref="F7:M7" si="0">F8+F78+F71+F96+F129+F161+F164+F188</f>
        <v>14489091.25</v>
      </c>
      <c r="G7" s="134"/>
      <c r="H7" s="134"/>
      <c r="I7" s="134">
        <f t="shared" si="0"/>
        <v>40120.29</v>
      </c>
      <c r="J7" s="134">
        <f t="shared" si="0"/>
        <v>218038.17</v>
      </c>
      <c r="K7" s="134">
        <f t="shared" si="0"/>
        <v>551680.34</v>
      </c>
      <c r="L7" s="134">
        <f t="shared" si="0"/>
        <v>1239981.8</v>
      </c>
      <c r="M7" s="134">
        <f t="shared" si="0"/>
        <v>21000</v>
      </c>
      <c r="N7" s="591"/>
      <c r="O7" s="133"/>
      <c r="P7" s="134"/>
      <c r="Q7" s="37"/>
      <c r="R7" s="37"/>
      <c r="S7" s="37"/>
      <c r="T7" s="37"/>
      <c r="U7" s="37"/>
      <c r="V7" s="37"/>
      <c r="W7" s="37"/>
      <c r="X7" s="585"/>
      <c r="Y7" s="585"/>
      <c r="Z7" s="770"/>
      <c r="AA7" s="770"/>
      <c r="AB7" s="770"/>
      <c r="AC7" s="770"/>
      <c r="AD7" s="770"/>
      <c r="AE7" s="770"/>
      <c r="AF7" s="770"/>
      <c r="AG7" s="770"/>
      <c r="AH7" s="770"/>
      <c r="AI7" s="770"/>
      <c r="AJ7" s="770"/>
      <c r="AK7" s="770"/>
      <c r="AL7" s="770"/>
      <c r="AM7" s="770"/>
      <c r="AN7" s="770"/>
      <c r="AO7" s="770"/>
      <c r="AP7" s="770"/>
      <c r="AQ7" s="585"/>
      <c r="AR7" s="577"/>
      <c r="AS7" s="774"/>
      <c r="AT7" s="775"/>
      <c r="AU7" s="775"/>
      <c r="AV7" s="171"/>
      <c r="AW7" s="165"/>
      <c r="AX7" s="161"/>
      <c r="AY7" s="161"/>
      <c r="AZ7" s="161"/>
      <c r="BA7" s="161"/>
      <c r="BB7" s="169"/>
      <c r="BC7" s="165"/>
      <c r="BD7" s="165"/>
      <c r="BE7" s="165"/>
      <c r="BF7" s="169"/>
      <c r="BG7" s="169"/>
      <c r="BH7" s="169"/>
      <c r="BJ7" s="165"/>
      <c r="BK7" s="157"/>
      <c r="BL7" s="157"/>
      <c r="BO7" s="7"/>
      <c r="BP7" s="157"/>
      <c r="BQ7" s="157"/>
      <c r="BR7" s="157"/>
      <c r="BS7" s="157"/>
      <c r="BT7" s="157"/>
      <c r="BU7" s="157"/>
      <c r="BV7" s="786"/>
    </row>
    <row r="8" s="9" customFormat="1" ht="30" customHeight="1" spans="1:74">
      <c r="A8" s="551" t="s">
        <v>76</v>
      </c>
      <c r="B8" s="755" t="str">
        <f>"工业（"&amp;SUBTOTAL(3,C9:C70)&amp;"个）"</f>
        <v>工业（54个）</v>
      </c>
      <c r="C8" s="755"/>
      <c r="D8" s="755"/>
      <c r="E8" s="557"/>
      <c r="F8" s="134">
        <f t="shared" ref="F8:M8" si="1">F9+F20+F24+F35+F40+F43+F51+F62</f>
        <v>10875412</v>
      </c>
      <c r="G8" s="134">
        <f t="shared" si="1"/>
        <v>0</v>
      </c>
      <c r="H8" s="134"/>
      <c r="I8" s="134">
        <f t="shared" si="1"/>
        <v>19550</v>
      </c>
      <c r="J8" s="134">
        <f t="shared" si="1"/>
        <v>115700</v>
      </c>
      <c r="K8" s="134">
        <f t="shared" si="1"/>
        <v>288925</v>
      </c>
      <c r="L8" s="134">
        <f t="shared" si="1"/>
        <v>753350</v>
      </c>
      <c r="M8" s="134">
        <f t="shared" si="1"/>
        <v>21000</v>
      </c>
      <c r="N8" s="591"/>
      <c r="O8" s="133"/>
      <c r="P8" s="134"/>
      <c r="Q8" s="134"/>
      <c r="R8" s="134"/>
      <c r="S8" s="134"/>
      <c r="T8" s="134"/>
      <c r="U8" s="134"/>
      <c r="V8" s="134"/>
      <c r="W8" s="134"/>
      <c r="X8" s="90"/>
      <c r="Y8" s="90"/>
      <c r="Z8" s="595"/>
      <c r="AA8" s="595"/>
      <c r="AB8" s="595"/>
      <c r="AC8" s="595"/>
      <c r="AD8" s="595"/>
      <c r="AE8" s="595"/>
      <c r="AF8" s="595"/>
      <c r="AG8" s="595"/>
      <c r="AH8" s="595"/>
      <c r="AI8" s="595"/>
      <c r="AJ8" s="595"/>
      <c r="AK8" s="595"/>
      <c r="AL8" s="595"/>
      <c r="AM8" s="595"/>
      <c r="AN8" s="595"/>
      <c r="AO8" s="595"/>
      <c r="AP8" s="595"/>
      <c r="AQ8" s="90"/>
      <c r="AR8" s="112"/>
      <c r="AS8" s="591"/>
      <c r="AT8" s="134"/>
      <c r="AU8" s="134"/>
      <c r="AV8" s="93"/>
      <c r="AW8" s="165"/>
      <c r="AX8" s="158"/>
      <c r="AY8" s="158"/>
      <c r="AZ8" s="158"/>
      <c r="BA8" s="158"/>
      <c r="BB8" s="169"/>
      <c r="BC8" s="165"/>
      <c r="BD8" s="165"/>
      <c r="BE8" s="165"/>
      <c r="BF8" s="169"/>
      <c r="BG8" s="169"/>
      <c r="BH8" s="169"/>
      <c r="BJ8" s="165"/>
      <c r="BK8" s="157"/>
      <c r="BL8" s="157"/>
      <c r="BO8" s="7"/>
      <c r="BP8" s="157"/>
      <c r="BQ8" s="157"/>
      <c r="BR8" s="157"/>
      <c r="BS8" s="157"/>
      <c r="BT8" s="157"/>
      <c r="BU8" s="157"/>
      <c r="BV8" s="786"/>
    </row>
    <row r="9" s="9" customFormat="1" ht="18.6" customHeight="1" spans="1:74">
      <c r="A9" s="551"/>
      <c r="B9" s="557" t="str">
        <f>"钦州港（"&amp;SUBTOTAL(3,C10:C19)&amp;"个）"</f>
        <v>钦州港（10个）</v>
      </c>
      <c r="C9" s="551"/>
      <c r="D9" s="554"/>
      <c r="E9" s="551"/>
      <c r="F9" s="134">
        <f>SUBTOTAL(9,F10:F19)</f>
        <v>7032343</v>
      </c>
      <c r="G9" s="134">
        <f t="shared" ref="G9:M9" si="2">SUBTOTAL(9,G10:G19)</f>
        <v>0</v>
      </c>
      <c r="H9" s="134"/>
      <c r="I9" s="134">
        <f t="shared" si="2"/>
        <v>0</v>
      </c>
      <c r="J9" s="134">
        <f t="shared" si="2"/>
        <v>8500</v>
      </c>
      <c r="K9" s="134">
        <f t="shared" si="2"/>
        <v>46000</v>
      </c>
      <c r="L9" s="134">
        <f t="shared" si="2"/>
        <v>186000</v>
      </c>
      <c r="M9" s="134">
        <f t="shared" si="2"/>
        <v>0</v>
      </c>
      <c r="N9" s="591"/>
      <c r="O9" s="133"/>
      <c r="P9" s="134"/>
      <c r="Q9" s="134"/>
      <c r="R9" s="134"/>
      <c r="S9" s="134"/>
      <c r="T9" s="134"/>
      <c r="U9" s="134"/>
      <c r="V9" s="134"/>
      <c r="W9" s="134"/>
      <c r="X9" s="90"/>
      <c r="Y9" s="90"/>
      <c r="Z9" s="595"/>
      <c r="AA9" s="595"/>
      <c r="AB9" s="595"/>
      <c r="AC9" s="595"/>
      <c r="AD9" s="595"/>
      <c r="AE9" s="595"/>
      <c r="AF9" s="595"/>
      <c r="AG9" s="595"/>
      <c r="AH9" s="595"/>
      <c r="AI9" s="595"/>
      <c r="AJ9" s="595"/>
      <c r="AK9" s="595"/>
      <c r="AL9" s="595"/>
      <c r="AM9" s="595"/>
      <c r="AN9" s="595"/>
      <c r="AO9" s="595"/>
      <c r="AP9" s="595"/>
      <c r="AQ9" s="90"/>
      <c r="AR9" s="112"/>
      <c r="AS9" s="591"/>
      <c r="AT9" s="134"/>
      <c r="AU9" s="134"/>
      <c r="AV9" s="93"/>
      <c r="AW9" s="165"/>
      <c r="AX9" s="158"/>
      <c r="AY9" s="158"/>
      <c r="AZ9" s="158"/>
      <c r="BA9" s="158"/>
      <c r="BB9" s="169"/>
      <c r="BC9" s="165"/>
      <c r="BD9" s="165"/>
      <c r="BE9" s="165"/>
      <c r="BF9" s="169"/>
      <c r="BG9" s="169"/>
      <c r="BH9" s="169"/>
      <c r="BI9" s="183"/>
      <c r="BJ9" s="165"/>
      <c r="BK9" s="157"/>
      <c r="BL9" s="157"/>
      <c r="BO9" s="7"/>
      <c r="BP9" s="157"/>
      <c r="BQ9" s="157"/>
      <c r="BR9" s="157"/>
      <c r="BS9" s="157"/>
      <c r="BT9" s="157"/>
      <c r="BU9" s="157"/>
      <c r="BV9" s="183"/>
    </row>
    <row r="10" s="7" customFormat="1" ht="190.5" customHeight="1" spans="1:78">
      <c r="A10" s="23">
        <f>SUBTOTAL(3,C$10:C10)</f>
        <v>1</v>
      </c>
      <c r="B10" s="93" t="s">
        <v>78</v>
      </c>
      <c r="C10" s="23" t="s">
        <v>79</v>
      </c>
      <c r="D10" s="93" t="s">
        <v>80</v>
      </c>
      <c r="E10" s="92" t="s">
        <v>81</v>
      </c>
      <c r="F10" s="92">
        <v>3500000</v>
      </c>
      <c r="G10" s="92"/>
      <c r="H10" s="81" t="s">
        <v>82</v>
      </c>
      <c r="I10" s="81"/>
      <c r="J10" s="81"/>
      <c r="K10" s="81"/>
      <c r="L10" s="92">
        <v>60000</v>
      </c>
      <c r="M10" s="92"/>
      <c r="N10" s="91" t="s">
        <v>83</v>
      </c>
      <c r="O10" s="92"/>
      <c r="P10" s="92"/>
      <c r="Q10" s="552"/>
      <c r="R10" s="134"/>
      <c r="S10" s="552"/>
      <c r="T10" s="552"/>
      <c r="U10" s="552"/>
      <c r="V10" s="552"/>
      <c r="W10" s="552"/>
      <c r="X10" s="93" t="s">
        <v>84</v>
      </c>
      <c r="Y10" s="93" t="s">
        <v>85</v>
      </c>
      <c r="Z10" s="134">
        <v>3188</v>
      </c>
      <c r="AA10" s="134"/>
      <c r="AB10" s="134"/>
      <c r="AC10" s="134"/>
      <c r="AD10" s="134"/>
      <c r="AE10" s="134"/>
      <c r="AF10" s="134"/>
      <c r="AG10" s="134"/>
      <c r="AH10" s="134"/>
      <c r="AI10" s="134"/>
      <c r="AJ10" s="134"/>
      <c r="AK10" s="134"/>
      <c r="AL10" s="134"/>
      <c r="AM10" s="134"/>
      <c r="AN10" s="134"/>
      <c r="AO10" s="134"/>
      <c r="AP10" s="134"/>
      <c r="AQ10" s="92"/>
      <c r="AR10" s="91" t="s">
        <v>86</v>
      </c>
      <c r="AS10" s="91" t="s">
        <v>87</v>
      </c>
      <c r="AT10" s="92" t="s">
        <v>1889</v>
      </c>
      <c r="AU10" s="92" t="s">
        <v>88</v>
      </c>
      <c r="AV10" s="93" t="s">
        <v>89</v>
      </c>
      <c r="AW10" s="157"/>
      <c r="AX10" s="158" t="s">
        <v>90</v>
      </c>
      <c r="AY10" s="158" t="s">
        <v>91</v>
      </c>
      <c r="AZ10" s="158" t="str">
        <f t="shared" ref="AZ10:AZ19" si="3">AY10&amp;AX10</f>
        <v>工业钦州港</v>
      </c>
      <c r="BA10" s="158" t="str">
        <f t="shared" ref="BA10:BA70" si="4">AY10</f>
        <v>工业</v>
      </c>
      <c r="BB10" s="161"/>
      <c r="BC10" s="160"/>
      <c r="BD10" s="157"/>
      <c r="BE10" s="157"/>
      <c r="BF10" s="157"/>
      <c r="BG10" s="157"/>
      <c r="BH10" s="157"/>
      <c r="BI10" s="181"/>
      <c r="BJ10" s="157" t="str">
        <f t="shared" ref="BJ10:BJ19" si="5">AU10&amp;H10</f>
        <v>市石化产业发展局、钦州港区管委10月</v>
      </c>
      <c r="BK10" s="157" t="s">
        <v>92</v>
      </c>
      <c r="BL10" s="157" t="s">
        <v>93</v>
      </c>
      <c r="BM10" s="201" t="str">
        <f t="shared" ref="BM10:BM19" si="6">BK10&amp;AU10</f>
        <v>企业市石化产业发展局、钦州港区管委</v>
      </c>
      <c r="BN10" s="201" t="str">
        <f t="shared" ref="BN10:BN19" si="7">BL10&amp;AU10</f>
        <v>产业市石化产业发展局、钦州港区管委</v>
      </c>
      <c r="BO10" s="201"/>
      <c r="BP10" s="157"/>
      <c r="BQ10" s="157">
        <f t="shared" ref="BQ10:BQ19" si="8">IF(Z10&gt;0,1,0)</f>
        <v>1</v>
      </c>
      <c r="BR10" s="157">
        <f t="shared" ref="BR10:BR19" si="9">IF(AF10&gt;0,1,0)</f>
        <v>0</v>
      </c>
      <c r="BS10" s="157">
        <f t="shared" ref="BS10:BS19" si="10">IF(AC10&gt;0,1,0)</f>
        <v>0</v>
      </c>
      <c r="BT10" s="157">
        <f t="shared" ref="BT10:BT19" si="11">IF(AI10&gt;0,1,0)</f>
        <v>0</v>
      </c>
      <c r="BU10" s="157">
        <f t="shared" ref="BU10:BU19" si="12">IF(AL10&gt;0,1,0)</f>
        <v>0</v>
      </c>
      <c r="BV10" s="181"/>
      <c r="BW10" s="206"/>
      <c r="BZ10" s="7" t="s">
        <v>1890</v>
      </c>
    </row>
    <row r="11" s="7" customFormat="1" ht="138" customHeight="1" spans="1:78">
      <c r="A11" s="23">
        <f>SUBTOTAL(3,C$10:C11)</f>
        <v>2</v>
      </c>
      <c r="B11" s="93" t="s">
        <v>94</v>
      </c>
      <c r="C11" s="23" t="s">
        <v>79</v>
      </c>
      <c r="D11" s="93" t="s">
        <v>95</v>
      </c>
      <c r="E11" s="92" t="s">
        <v>81</v>
      </c>
      <c r="F11" s="92">
        <v>1500000</v>
      </c>
      <c r="G11" s="92"/>
      <c r="H11" s="81" t="s">
        <v>82</v>
      </c>
      <c r="I11" s="81"/>
      <c r="J11" s="81"/>
      <c r="K11" s="81"/>
      <c r="L11" s="92">
        <v>20000</v>
      </c>
      <c r="M11" s="92"/>
      <c r="N11" s="91" t="s">
        <v>96</v>
      </c>
      <c r="O11" s="92"/>
      <c r="P11" s="92"/>
      <c r="Q11" s="552"/>
      <c r="R11" s="552"/>
      <c r="S11" s="552"/>
      <c r="T11" s="552"/>
      <c r="U11" s="552"/>
      <c r="V11" s="552"/>
      <c r="W11" s="552"/>
      <c r="X11" s="93" t="s">
        <v>97</v>
      </c>
      <c r="Y11" s="93" t="s">
        <v>98</v>
      </c>
      <c r="Z11" s="134">
        <v>1290</v>
      </c>
      <c r="AA11" s="134"/>
      <c r="AB11" s="134"/>
      <c r="AC11" s="134"/>
      <c r="AD11" s="134"/>
      <c r="AE11" s="134"/>
      <c r="AF11" s="134"/>
      <c r="AG11" s="134"/>
      <c r="AH11" s="134"/>
      <c r="AI11" s="134"/>
      <c r="AJ11" s="134"/>
      <c r="AK11" s="134"/>
      <c r="AL11" s="134"/>
      <c r="AM11" s="134"/>
      <c r="AN11" s="134"/>
      <c r="AO11" s="134"/>
      <c r="AP11" s="134"/>
      <c r="AQ11" s="92"/>
      <c r="AR11" s="91" t="s">
        <v>99</v>
      </c>
      <c r="AS11" s="91" t="s">
        <v>1891</v>
      </c>
      <c r="AT11" s="92" t="s">
        <v>1892</v>
      </c>
      <c r="AU11" s="92" t="s">
        <v>88</v>
      </c>
      <c r="AV11" s="93"/>
      <c r="AW11" s="157"/>
      <c r="AX11" s="158" t="s">
        <v>90</v>
      </c>
      <c r="AY11" s="158" t="s">
        <v>91</v>
      </c>
      <c r="AZ11" s="158" t="str">
        <f t="shared" si="3"/>
        <v>工业钦州港</v>
      </c>
      <c r="BA11" s="158" t="str">
        <f t="shared" si="4"/>
        <v>工业</v>
      </c>
      <c r="BB11" s="161"/>
      <c r="BC11" s="160"/>
      <c r="BD11" s="157"/>
      <c r="BE11" s="157"/>
      <c r="BF11" s="157"/>
      <c r="BG11" s="157"/>
      <c r="BH11" s="157"/>
      <c r="BI11" s="181"/>
      <c r="BJ11" s="157" t="str">
        <f t="shared" si="5"/>
        <v>市石化产业发展局、钦州港区管委10月</v>
      </c>
      <c r="BK11" s="157" t="s">
        <v>92</v>
      </c>
      <c r="BL11" s="157" t="s">
        <v>93</v>
      </c>
      <c r="BM11" s="201" t="str">
        <f t="shared" si="6"/>
        <v>企业市石化产业发展局、钦州港区管委</v>
      </c>
      <c r="BN11" s="201" t="str">
        <f t="shared" si="7"/>
        <v>产业市石化产业发展局、钦州港区管委</v>
      </c>
      <c r="BO11" s="201"/>
      <c r="BP11" s="157"/>
      <c r="BQ11" s="157">
        <f t="shared" si="8"/>
        <v>1</v>
      </c>
      <c r="BR11" s="157">
        <f t="shared" si="9"/>
        <v>0</v>
      </c>
      <c r="BS11" s="157">
        <f t="shared" si="10"/>
        <v>0</v>
      </c>
      <c r="BT11" s="157">
        <f t="shared" si="11"/>
        <v>0</v>
      </c>
      <c r="BU11" s="157">
        <f t="shared" si="12"/>
        <v>0</v>
      </c>
      <c r="BV11" s="181"/>
      <c r="BW11" s="206"/>
      <c r="BZ11" s="7" t="s">
        <v>1890</v>
      </c>
    </row>
    <row r="12" s="7" customFormat="1" ht="131.25" customHeight="1" spans="1:78">
      <c r="A12" s="23">
        <f>SUBTOTAL(3,C$10:C12)</f>
        <v>3</v>
      </c>
      <c r="B12" s="93" t="s">
        <v>101</v>
      </c>
      <c r="C12" s="92" t="s">
        <v>79</v>
      </c>
      <c r="D12" s="93" t="s">
        <v>102</v>
      </c>
      <c r="E12" s="92" t="s">
        <v>81</v>
      </c>
      <c r="F12" s="92">
        <v>580000</v>
      </c>
      <c r="G12" s="92"/>
      <c r="H12" s="81" t="s">
        <v>103</v>
      </c>
      <c r="I12" s="81"/>
      <c r="J12" s="81"/>
      <c r="K12" s="81"/>
      <c r="L12" s="92">
        <v>10000</v>
      </c>
      <c r="M12" s="92"/>
      <c r="N12" s="91" t="s">
        <v>104</v>
      </c>
      <c r="O12" s="92"/>
      <c r="P12" s="92"/>
      <c r="Q12" s="552"/>
      <c r="R12" s="552"/>
      <c r="S12" s="552"/>
      <c r="T12" s="552"/>
      <c r="U12" s="552"/>
      <c r="V12" s="552"/>
      <c r="W12" s="552"/>
      <c r="X12" s="93" t="s">
        <v>105</v>
      </c>
      <c r="Y12" s="93" t="s">
        <v>106</v>
      </c>
      <c r="Z12" s="134">
        <v>1061</v>
      </c>
      <c r="AA12" s="134"/>
      <c r="AB12" s="134"/>
      <c r="AC12" s="134"/>
      <c r="AD12" s="134"/>
      <c r="AE12" s="134"/>
      <c r="AF12" s="134"/>
      <c r="AG12" s="134"/>
      <c r="AH12" s="134"/>
      <c r="AI12" s="134"/>
      <c r="AJ12" s="134"/>
      <c r="AK12" s="134"/>
      <c r="AL12" s="134"/>
      <c r="AM12" s="134"/>
      <c r="AN12" s="134"/>
      <c r="AO12" s="134"/>
      <c r="AP12" s="134"/>
      <c r="AQ12" s="92"/>
      <c r="AR12" s="91" t="s">
        <v>107</v>
      </c>
      <c r="AS12" s="91" t="s">
        <v>108</v>
      </c>
      <c r="AT12" s="92" t="s">
        <v>1893</v>
      </c>
      <c r="AU12" s="92" t="s">
        <v>88</v>
      </c>
      <c r="AV12" s="93" t="s">
        <v>109</v>
      </c>
      <c r="AW12" s="157"/>
      <c r="AX12" s="158" t="s">
        <v>90</v>
      </c>
      <c r="AY12" s="158" t="s">
        <v>91</v>
      </c>
      <c r="AZ12" s="158" t="str">
        <f t="shared" si="3"/>
        <v>工业钦州港</v>
      </c>
      <c r="BA12" s="158" t="str">
        <f t="shared" si="4"/>
        <v>工业</v>
      </c>
      <c r="BB12" s="161"/>
      <c r="BC12" s="160"/>
      <c r="BD12" s="157"/>
      <c r="BE12" s="157"/>
      <c r="BF12" s="157"/>
      <c r="BG12" s="157"/>
      <c r="BH12" s="157"/>
      <c r="BI12" s="181"/>
      <c r="BJ12" s="157" t="str">
        <f t="shared" si="5"/>
        <v>市石化产业发展局、钦州港区管委10月</v>
      </c>
      <c r="BK12" s="157" t="s">
        <v>92</v>
      </c>
      <c r="BL12" s="157" t="s">
        <v>93</v>
      </c>
      <c r="BM12" s="201" t="str">
        <f t="shared" si="6"/>
        <v>企业市石化产业发展局、钦州港区管委</v>
      </c>
      <c r="BN12" s="201" t="str">
        <f t="shared" si="7"/>
        <v>产业市石化产业发展局、钦州港区管委</v>
      </c>
      <c r="BO12" s="201"/>
      <c r="BP12" s="157"/>
      <c r="BQ12" s="157">
        <f t="shared" si="8"/>
        <v>1</v>
      </c>
      <c r="BR12" s="157">
        <f t="shared" si="9"/>
        <v>0</v>
      </c>
      <c r="BS12" s="157">
        <f t="shared" si="10"/>
        <v>0</v>
      </c>
      <c r="BT12" s="157">
        <f t="shared" si="11"/>
        <v>0</v>
      </c>
      <c r="BU12" s="157">
        <f t="shared" si="12"/>
        <v>0</v>
      </c>
      <c r="BV12" s="181"/>
      <c r="BW12" s="206"/>
      <c r="BZ12" s="7" t="s">
        <v>1890</v>
      </c>
    </row>
    <row r="13" ht="69" customHeight="1" spans="1:81">
      <c r="A13" s="23">
        <f>SUBTOTAL(3,C$10:C13)</f>
        <v>4</v>
      </c>
      <c r="B13" s="55" t="s">
        <v>110</v>
      </c>
      <c r="C13" s="23" t="s">
        <v>79</v>
      </c>
      <c r="D13" s="55" t="s">
        <v>111</v>
      </c>
      <c r="E13" s="35" t="s">
        <v>112</v>
      </c>
      <c r="F13" s="38">
        <v>113750</v>
      </c>
      <c r="G13" s="38"/>
      <c r="H13" s="83" t="s">
        <v>113</v>
      </c>
      <c r="I13" s="83"/>
      <c r="J13" s="578">
        <v>500</v>
      </c>
      <c r="K13" s="578">
        <v>2000</v>
      </c>
      <c r="L13" s="38">
        <v>5000</v>
      </c>
      <c r="M13" s="38"/>
      <c r="N13" s="91" t="s">
        <v>114</v>
      </c>
      <c r="O13" s="111"/>
      <c r="P13" s="67"/>
      <c r="Q13" s="134" t="s">
        <v>115</v>
      </c>
      <c r="R13" s="134" t="s">
        <v>115</v>
      </c>
      <c r="S13" s="134"/>
      <c r="T13" s="134"/>
      <c r="U13" s="134"/>
      <c r="V13" s="134"/>
      <c r="W13" s="134"/>
      <c r="X13" s="90" t="s">
        <v>116</v>
      </c>
      <c r="Y13" s="90" t="s">
        <v>117</v>
      </c>
      <c r="Z13" s="132">
        <v>100</v>
      </c>
      <c r="AA13" s="132"/>
      <c r="AB13" s="132"/>
      <c r="AC13" s="132"/>
      <c r="AD13" s="132"/>
      <c r="AE13" s="132"/>
      <c r="AF13" s="132"/>
      <c r="AG13" s="132"/>
      <c r="AH13" s="132"/>
      <c r="AI13" s="132"/>
      <c r="AJ13" s="132"/>
      <c r="AK13" s="132"/>
      <c r="AL13" s="132"/>
      <c r="AM13" s="132"/>
      <c r="AN13" s="132"/>
      <c r="AO13" s="132"/>
      <c r="AP13" s="132"/>
      <c r="AQ13" s="90"/>
      <c r="AR13" s="112" t="s">
        <v>117</v>
      </c>
      <c r="AS13" s="34" t="s">
        <v>118</v>
      </c>
      <c r="AT13" s="67" t="s">
        <v>1894</v>
      </c>
      <c r="AU13" s="67" t="s">
        <v>119</v>
      </c>
      <c r="AV13" s="93"/>
      <c r="AW13" s="157"/>
      <c r="AX13" s="158" t="s">
        <v>90</v>
      </c>
      <c r="AY13" s="158" t="s">
        <v>91</v>
      </c>
      <c r="AZ13" s="158" t="str">
        <f t="shared" si="3"/>
        <v>工业钦州港</v>
      </c>
      <c r="BA13" s="158" t="str">
        <f t="shared" si="4"/>
        <v>工业</v>
      </c>
      <c r="BB13" s="161"/>
      <c r="BC13" s="160"/>
      <c r="BD13" s="157"/>
      <c r="BE13" s="157"/>
      <c r="BF13" s="157"/>
      <c r="BG13" s="157"/>
      <c r="BH13" s="157"/>
      <c r="BI13" s="181"/>
      <c r="BJ13" s="157" t="str">
        <f t="shared" si="5"/>
        <v>钦州港区管委9月</v>
      </c>
      <c r="BK13" s="157" t="s">
        <v>92</v>
      </c>
      <c r="BL13" s="157" t="s">
        <v>93</v>
      </c>
      <c r="BM13" s="201" t="str">
        <f t="shared" si="6"/>
        <v>企业钦州港区管委</v>
      </c>
      <c r="BN13" s="201" t="str">
        <f t="shared" si="7"/>
        <v>产业钦州港区管委</v>
      </c>
      <c r="BO13" s="201">
        <f t="shared" ref="BO13:BO19" si="13">IF(O13&gt;0,1,0)</f>
        <v>0</v>
      </c>
      <c r="BP13" s="157"/>
      <c r="BQ13" s="157">
        <f t="shared" si="8"/>
        <v>1</v>
      </c>
      <c r="BR13" s="157">
        <f t="shared" si="9"/>
        <v>0</v>
      </c>
      <c r="BS13" s="157">
        <f t="shared" si="10"/>
        <v>0</v>
      </c>
      <c r="BT13" s="157">
        <f t="shared" si="11"/>
        <v>0</v>
      </c>
      <c r="BU13" s="157">
        <f t="shared" si="12"/>
        <v>0</v>
      </c>
      <c r="BV13" s="181"/>
      <c r="BW13" s="206"/>
      <c r="BX13" s="4" t="s">
        <v>1895</v>
      </c>
      <c r="BY13" s="4"/>
      <c r="BZ13" s="7" t="s">
        <v>1890</v>
      </c>
      <c r="CA13" s="4"/>
      <c r="CB13" s="4"/>
      <c r="CC13" s="4"/>
    </row>
    <row r="14" ht="82.5" customHeight="1" spans="1:81">
      <c r="A14" s="23">
        <f>SUBTOTAL(3,C$10:C14)</f>
        <v>5</v>
      </c>
      <c r="B14" s="55" t="s">
        <v>120</v>
      </c>
      <c r="C14" s="23" t="s">
        <v>79</v>
      </c>
      <c r="D14" s="55" t="s">
        <v>121</v>
      </c>
      <c r="E14" s="35" t="s">
        <v>112</v>
      </c>
      <c r="F14" s="36">
        <v>12377</v>
      </c>
      <c r="G14" s="36"/>
      <c r="H14" s="81" t="s">
        <v>122</v>
      </c>
      <c r="I14" s="81"/>
      <c r="J14" s="37">
        <v>1000</v>
      </c>
      <c r="K14" s="37">
        <v>4000</v>
      </c>
      <c r="L14" s="67">
        <v>5000</v>
      </c>
      <c r="M14" s="67"/>
      <c r="N14" s="123" t="s">
        <v>123</v>
      </c>
      <c r="O14" s="36"/>
      <c r="P14" s="134"/>
      <c r="Q14" s="134"/>
      <c r="R14" s="134"/>
      <c r="S14" s="134"/>
      <c r="T14" s="134"/>
      <c r="U14" s="134"/>
      <c r="V14" s="134"/>
      <c r="W14" s="134"/>
      <c r="X14" s="90" t="s">
        <v>124</v>
      </c>
      <c r="Y14" s="90" t="s">
        <v>125</v>
      </c>
      <c r="Z14" s="132"/>
      <c r="AA14" s="132"/>
      <c r="AB14" s="132"/>
      <c r="AC14" s="132"/>
      <c r="AD14" s="132"/>
      <c r="AE14" s="132"/>
      <c r="AF14" s="132"/>
      <c r="AG14" s="132"/>
      <c r="AH14" s="132"/>
      <c r="AI14" s="132"/>
      <c r="AJ14" s="132"/>
      <c r="AK14" s="132"/>
      <c r="AL14" s="132"/>
      <c r="AM14" s="132"/>
      <c r="AN14" s="132"/>
      <c r="AO14" s="132"/>
      <c r="AP14" s="132"/>
      <c r="AQ14" s="112"/>
      <c r="AR14" s="112" t="s">
        <v>126</v>
      </c>
      <c r="AS14" s="34" t="s">
        <v>127</v>
      </c>
      <c r="AT14" s="59" t="s">
        <v>1896</v>
      </c>
      <c r="AU14" s="67" t="s">
        <v>119</v>
      </c>
      <c r="AV14" s="54" t="s">
        <v>128</v>
      </c>
      <c r="AW14" s="157"/>
      <c r="AX14" s="158" t="s">
        <v>90</v>
      </c>
      <c r="AY14" s="158" t="s">
        <v>91</v>
      </c>
      <c r="AZ14" s="158" t="str">
        <f t="shared" si="3"/>
        <v>工业钦州港</v>
      </c>
      <c r="BA14" s="158" t="str">
        <f t="shared" si="4"/>
        <v>工业</v>
      </c>
      <c r="BB14" s="161"/>
      <c r="BC14" s="160"/>
      <c r="BD14" s="157"/>
      <c r="BE14" s="157"/>
      <c r="BF14" s="157"/>
      <c r="BG14" s="157"/>
      <c r="BH14" s="157"/>
      <c r="BI14" s="181"/>
      <c r="BJ14" s="157" t="str">
        <f t="shared" si="5"/>
        <v>钦州港区管委6月</v>
      </c>
      <c r="BK14" s="157" t="s">
        <v>92</v>
      </c>
      <c r="BL14" s="157" t="s">
        <v>93</v>
      </c>
      <c r="BM14" s="201" t="str">
        <f t="shared" si="6"/>
        <v>企业钦州港区管委</v>
      </c>
      <c r="BN14" s="201" t="str">
        <f t="shared" si="7"/>
        <v>产业钦州港区管委</v>
      </c>
      <c r="BO14" s="201">
        <f t="shared" si="13"/>
        <v>0</v>
      </c>
      <c r="BP14" s="157"/>
      <c r="BQ14" s="157">
        <f t="shared" si="8"/>
        <v>0</v>
      </c>
      <c r="BR14" s="157">
        <f t="shared" si="9"/>
        <v>0</v>
      </c>
      <c r="BS14" s="157">
        <f t="shared" si="10"/>
        <v>0</v>
      </c>
      <c r="BT14" s="157">
        <f t="shared" si="11"/>
        <v>0</v>
      </c>
      <c r="BU14" s="157">
        <f t="shared" si="12"/>
        <v>0</v>
      </c>
      <c r="BV14" s="181"/>
      <c r="BW14" s="206"/>
      <c r="BX14" s="4" t="s">
        <v>1895</v>
      </c>
      <c r="BY14" s="4"/>
      <c r="BZ14" s="4"/>
      <c r="CA14" s="4"/>
      <c r="CB14" s="4"/>
      <c r="CC14" s="4"/>
    </row>
    <row r="15" s="7" customFormat="1" ht="71.25" customHeight="1" spans="1:75">
      <c r="A15" s="23">
        <f>SUBTOTAL(3,C$10:C15)</f>
        <v>6</v>
      </c>
      <c r="B15" s="55" t="s">
        <v>129</v>
      </c>
      <c r="C15" s="23" t="s">
        <v>79</v>
      </c>
      <c r="D15" s="55" t="s">
        <v>130</v>
      </c>
      <c r="E15" s="35" t="s">
        <v>112</v>
      </c>
      <c r="F15" s="38">
        <v>16200</v>
      </c>
      <c r="G15" s="38"/>
      <c r="H15" s="81" t="s">
        <v>131</v>
      </c>
      <c r="I15" s="81"/>
      <c r="J15" s="81"/>
      <c r="K15" s="81"/>
      <c r="L15" s="38">
        <v>1000</v>
      </c>
      <c r="M15" s="38"/>
      <c r="N15" s="123" t="s">
        <v>123</v>
      </c>
      <c r="O15" s="111"/>
      <c r="P15" s="67"/>
      <c r="Q15" s="134" t="s">
        <v>115</v>
      </c>
      <c r="R15" s="134"/>
      <c r="S15" s="134"/>
      <c r="T15" s="134"/>
      <c r="U15" s="134"/>
      <c r="V15" s="134"/>
      <c r="W15" s="134"/>
      <c r="X15" s="90" t="s">
        <v>132</v>
      </c>
      <c r="Y15" s="90" t="s">
        <v>117</v>
      </c>
      <c r="Z15" s="132"/>
      <c r="AA15" s="132"/>
      <c r="AB15" s="132"/>
      <c r="AC15" s="132"/>
      <c r="AD15" s="132"/>
      <c r="AE15" s="132"/>
      <c r="AF15" s="132"/>
      <c r="AG15" s="132"/>
      <c r="AH15" s="132"/>
      <c r="AI15" s="132"/>
      <c r="AJ15" s="132"/>
      <c r="AK15" s="132"/>
      <c r="AL15" s="132"/>
      <c r="AM15" s="132"/>
      <c r="AN15" s="132"/>
      <c r="AO15" s="132"/>
      <c r="AP15" s="132"/>
      <c r="AQ15" s="90"/>
      <c r="AR15" s="112" t="s">
        <v>133</v>
      </c>
      <c r="AS15" s="34" t="s">
        <v>134</v>
      </c>
      <c r="AT15" s="67" t="s">
        <v>1897</v>
      </c>
      <c r="AU15" s="67" t="s">
        <v>119</v>
      </c>
      <c r="AV15" s="93" t="s">
        <v>135</v>
      </c>
      <c r="AW15" s="157"/>
      <c r="AX15" s="158" t="s">
        <v>90</v>
      </c>
      <c r="AY15" s="158" t="s">
        <v>91</v>
      </c>
      <c r="AZ15" s="158" t="str">
        <f t="shared" si="3"/>
        <v>工业钦州港</v>
      </c>
      <c r="BA15" s="158" t="str">
        <f t="shared" si="4"/>
        <v>工业</v>
      </c>
      <c r="BB15" s="161"/>
      <c r="BC15" s="160"/>
      <c r="BD15" s="157"/>
      <c r="BE15" s="157"/>
      <c r="BF15" s="157"/>
      <c r="BG15" s="157"/>
      <c r="BH15" s="157"/>
      <c r="BI15" s="181"/>
      <c r="BJ15" s="157" t="str">
        <f t="shared" si="5"/>
        <v>钦州港区管委12月</v>
      </c>
      <c r="BK15" s="157" t="s">
        <v>92</v>
      </c>
      <c r="BL15" s="157" t="s">
        <v>93</v>
      </c>
      <c r="BM15" s="201" t="str">
        <f t="shared" si="6"/>
        <v>企业钦州港区管委</v>
      </c>
      <c r="BN15" s="201" t="str">
        <f t="shared" si="7"/>
        <v>产业钦州港区管委</v>
      </c>
      <c r="BO15" s="201"/>
      <c r="BP15" s="157"/>
      <c r="BQ15" s="157">
        <f t="shared" si="8"/>
        <v>0</v>
      </c>
      <c r="BR15" s="157">
        <f t="shared" si="9"/>
        <v>0</v>
      </c>
      <c r="BS15" s="157">
        <f t="shared" si="10"/>
        <v>0</v>
      </c>
      <c r="BT15" s="157">
        <f t="shared" si="11"/>
        <v>0</v>
      </c>
      <c r="BU15" s="157">
        <f t="shared" si="12"/>
        <v>0</v>
      </c>
      <c r="BV15" s="181"/>
      <c r="BW15" s="206"/>
    </row>
    <row r="16" s="7" customFormat="1" ht="74.25" customHeight="1" spans="1:75">
      <c r="A16" s="23">
        <f>SUBTOTAL(3,C$10:C16)</f>
        <v>7</v>
      </c>
      <c r="B16" s="55" t="s">
        <v>136</v>
      </c>
      <c r="C16" s="23" t="s">
        <v>79</v>
      </c>
      <c r="D16" s="55" t="s">
        <v>137</v>
      </c>
      <c r="E16" s="59" t="s">
        <v>81</v>
      </c>
      <c r="F16" s="38">
        <v>15116</v>
      </c>
      <c r="G16" s="38"/>
      <c r="H16" s="81" t="s">
        <v>82</v>
      </c>
      <c r="I16" s="81"/>
      <c r="J16" s="81"/>
      <c r="K16" s="81"/>
      <c r="L16" s="38">
        <v>10000</v>
      </c>
      <c r="M16" s="38"/>
      <c r="N16" s="123" t="s">
        <v>123</v>
      </c>
      <c r="O16" s="111"/>
      <c r="P16" s="67"/>
      <c r="Q16" s="134"/>
      <c r="R16" s="134"/>
      <c r="S16" s="134"/>
      <c r="T16" s="134"/>
      <c r="U16" s="134"/>
      <c r="V16" s="134"/>
      <c r="W16" s="134"/>
      <c r="X16" s="90" t="s">
        <v>138</v>
      </c>
      <c r="Y16" s="90" t="s">
        <v>117</v>
      </c>
      <c r="Z16" s="132"/>
      <c r="AA16" s="132"/>
      <c r="AB16" s="132"/>
      <c r="AC16" s="132"/>
      <c r="AD16" s="132"/>
      <c r="AE16" s="132"/>
      <c r="AF16" s="132"/>
      <c r="AG16" s="132"/>
      <c r="AH16" s="132"/>
      <c r="AI16" s="132"/>
      <c r="AJ16" s="132"/>
      <c r="AK16" s="132"/>
      <c r="AL16" s="132"/>
      <c r="AM16" s="132"/>
      <c r="AN16" s="132"/>
      <c r="AO16" s="132"/>
      <c r="AP16" s="132"/>
      <c r="AQ16" s="90"/>
      <c r="AR16" s="112" t="s">
        <v>139</v>
      </c>
      <c r="AS16" s="34" t="s">
        <v>140</v>
      </c>
      <c r="AT16" s="67" t="s">
        <v>1898</v>
      </c>
      <c r="AU16" s="67" t="s">
        <v>119</v>
      </c>
      <c r="AV16" s="93"/>
      <c r="AW16" s="157"/>
      <c r="AX16" s="158" t="s">
        <v>90</v>
      </c>
      <c r="AY16" s="158" t="s">
        <v>91</v>
      </c>
      <c r="AZ16" s="158" t="str">
        <f t="shared" si="3"/>
        <v>工业钦州港</v>
      </c>
      <c r="BA16" s="158" t="str">
        <f t="shared" si="4"/>
        <v>工业</v>
      </c>
      <c r="BB16" s="161"/>
      <c r="BC16" s="160"/>
      <c r="BD16" s="157"/>
      <c r="BE16" s="157"/>
      <c r="BF16" s="157"/>
      <c r="BG16" s="157"/>
      <c r="BH16" s="157"/>
      <c r="BI16" s="181"/>
      <c r="BJ16" s="157" t="str">
        <f t="shared" si="5"/>
        <v>钦州港区管委10月</v>
      </c>
      <c r="BK16" s="157" t="s">
        <v>92</v>
      </c>
      <c r="BL16" s="157" t="s">
        <v>93</v>
      </c>
      <c r="BM16" s="201" t="str">
        <f t="shared" si="6"/>
        <v>企业钦州港区管委</v>
      </c>
      <c r="BN16" s="201" t="str">
        <f t="shared" si="7"/>
        <v>产业钦州港区管委</v>
      </c>
      <c r="BO16" s="201"/>
      <c r="BP16" s="157"/>
      <c r="BQ16" s="157">
        <f t="shared" si="8"/>
        <v>0</v>
      </c>
      <c r="BR16" s="157">
        <f t="shared" si="9"/>
        <v>0</v>
      </c>
      <c r="BS16" s="157">
        <f t="shared" si="10"/>
        <v>0</v>
      </c>
      <c r="BT16" s="157">
        <f t="shared" si="11"/>
        <v>0</v>
      </c>
      <c r="BU16" s="157">
        <f t="shared" si="12"/>
        <v>0</v>
      </c>
      <c r="BV16" s="181"/>
      <c r="BW16" s="206"/>
    </row>
    <row r="17" s="7" customFormat="1" ht="93" customHeight="1" spans="1:78">
      <c r="A17" s="23">
        <f>SUBTOTAL(3,C$10:C17)</f>
        <v>8</v>
      </c>
      <c r="B17" s="60" t="s">
        <v>141</v>
      </c>
      <c r="C17" s="23" t="s">
        <v>79</v>
      </c>
      <c r="D17" s="88" t="s">
        <v>142</v>
      </c>
      <c r="E17" s="23" t="s">
        <v>143</v>
      </c>
      <c r="F17" s="67">
        <v>1145000</v>
      </c>
      <c r="G17" s="67"/>
      <c r="H17" s="81" t="s">
        <v>144</v>
      </c>
      <c r="I17" s="81"/>
      <c r="J17" s="37">
        <v>5000</v>
      </c>
      <c r="K17" s="37">
        <v>20000</v>
      </c>
      <c r="L17" s="67">
        <v>50000</v>
      </c>
      <c r="M17" s="67"/>
      <c r="N17" s="123" t="s">
        <v>145</v>
      </c>
      <c r="O17" s="61"/>
      <c r="P17" s="136"/>
      <c r="Q17" s="251" t="s">
        <v>115</v>
      </c>
      <c r="R17" s="251" t="s">
        <v>115</v>
      </c>
      <c r="S17" s="251" t="s">
        <v>115</v>
      </c>
      <c r="T17" s="251" t="s">
        <v>115</v>
      </c>
      <c r="U17" s="251"/>
      <c r="V17" s="251"/>
      <c r="W17" s="251"/>
      <c r="X17" s="90" t="s">
        <v>146</v>
      </c>
      <c r="Y17" s="90" t="s">
        <v>147</v>
      </c>
      <c r="Z17" s="132">
        <v>1233</v>
      </c>
      <c r="AA17" s="132">
        <v>411</v>
      </c>
      <c r="AB17" s="132">
        <v>822</v>
      </c>
      <c r="AC17" s="132"/>
      <c r="AD17" s="132"/>
      <c r="AE17" s="132"/>
      <c r="AF17" s="132"/>
      <c r="AG17" s="132"/>
      <c r="AH17" s="132"/>
      <c r="AI17" s="132"/>
      <c r="AJ17" s="132"/>
      <c r="AK17" s="132"/>
      <c r="AL17" s="132"/>
      <c r="AM17" s="132"/>
      <c r="AN17" s="132"/>
      <c r="AO17" s="132"/>
      <c r="AP17" s="132"/>
      <c r="AQ17" s="60"/>
      <c r="AR17" s="112" t="s">
        <v>148</v>
      </c>
      <c r="AS17" s="123" t="s">
        <v>149</v>
      </c>
      <c r="AT17" s="67" t="s">
        <v>1899</v>
      </c>
      <c r="AU17" s="67" t="s">
        <v>119</v>
      </c>
      <c r="AV17" s="93" t="s">
        <v>150</v>
      </c>
      <c r="AW17" s="157"/>
      <c r="AX17" s="158" t="s">
        <v>90</v>
      </c>
      <c r="AY17" s="158" t="s">
        <v>91</v>
      </c>
      <c r="AZ17" s="158" t="str">
        <f t="shared" si="3"/>
        <v>工业钦州港</v>
      </c>
      <c r="BA17" s="158" t="str">
        <f t="shared" si="4"/>
        <v>工业</v>
      </c>
      <c r="BB17" s="159"/>
      <c r="BC17" s="160"/>
      <c r="BD17" s="157"/>
      <c r="BE17" s="157"/>
      <c r="BF17" s="157"/>
      <c r="BG17" s="157"/>
      <c r="BH17" s="157"/>
      <c r="BI17" s="181"/>
      <c r="BJ17" s="157" t="str">
        <f t="shared" si="5"/>
        <v>钦州港区管委5月</v>
      </c>
      <c r="BK17" s="157" t="s">
        <v>92</v>
      </c>
      <c r="BL17" s="157" t="s">
        <v>93</v>
      </c>
      <c r="BM17" s="201" t="str">
        <f t="shared" si="6"/>
        <v>企业钦州港区管委</v>
      </c>
      <c r="BN17" s="201" t="str">
        <f t="shared" si="7"/>
        <v>产业钦州港区管委</v>
      </c>
      <c r="BO17" s="201">
        <f t="shared" si="13"/>
        <v>0</v>
      </c>
      <c r="BP17" s="157"/>
      <c r="BQ17" s="157">
        <f t="shared" si="8"/>
        <v>1</v>
      </c>
      <c r="BR17" s="157">
        <f t="shared" si="9"/>
        <v>0</v>
      </c>
      <c r="BS17" s="157">
        <f t="shared" si="10"/>
        <v>0</v>
      </c>
      <c r="BT17" s="157">
        <f t="shared" si="11"/>
        <v>0</v>
      </c>
      <c r="BU17" s="157">
        <f t="shared" si="12"/>
        <v>0</v>
      </c>
      <c r="BV17" s="181"/>
      <c r="BW17" s="206"/>
      <c r="BZ17" s="7" t="s">
        <v>1890</v>
      </c>
    </row>
    <row r="18" s="7" customFormat="1" ht="108" customHeight="1" spans="1:78">
      <c r="A18" s="23">
        <f>SUBTOTAL(3,C$10:C18)</f>
        <v>9</v>
      </c>
      <c r="B18" s="55" t="s">
        <v>151</v>
      </c>
      <c r="C18" s="23" t="s">
        <v>79</v>
      </c>
      <c r="D18" s="88" t="s">
        <v>152</v>
      </c>
      <c r="E18" s="23" t="s">
        <v>81</v>
      </c>
      <c r="F18" s="67">
        <v>114900</v>
      </c>
      <c r="G18" s="67"/>
      <c r="H18" s="83" t="s">
        <v>122</v>
      </c>
      <c r="I18" s="83"/>
      <c r="J18" s="578">
        <v>2000</v>
      </c>
      <c r="K18" s="578">
        <v>20000</v>
      </c>
      <c r="L18" s="36">
        <v>20000</v>
      </c>
      <c r="M18" s="36"/>
      <c r="N18" s="112" t="s">
        <v>153</v>
      </c>
      <c r="O18" s="61"/>
      <c r="P18" s="136"/>
      <c r="Q18" s="251"/>
      <c r="R18" s="251"/>
      <c r="S18" s="251"/>
      <c r="T18" s="251"/>
      <c r="U18" s="251"/>
      <c r="V18" s="251"/>
      <c r="W18" s="251"/>
      <c r="X18" s="90" t="s">
        <v>154</v>
      </c>
      <c r="Y18" s="90" t="s">
        <v>155</v>
      </c>
      <c r="Z18" s="132"/>
      <c r="AA18" s="132"/>
      <c r="AB18" s="132"/>
      <c r="AC18" s="132"/>
      <c r="AD18" s="132"/>
      <c r="AE18" s="132"/>
      <c r="AF18" s="132"/>
      <c r="AG18" s="132"/>
      <c r="AH18" s="132"/>
      <c r="AI18" s="132"/>
      <c r="AJ18" s="132"/>
      <c r="AK18" s="132"/>
      <c r="AL18" s="132"/>
      <c r="AM18" s="132"/>
      <c r="AN18" s="132"/>
      <c r="AO18" s="132"/>
      <c r="AP18" s="132"/>
      <c r="AQ18" s="60"/>
      <c r="AR18" s="112" t="s">
        <v>156</v>
      </c>
      <c r="AS18" s="123" t="s">
        <v>157</v>
      </c>
      <c r="AT18" s="67" t="s">
        <v>1900</v>
      </c>
      <c r="AU18" s="67" t="s">
        <v>119</v>
      </c>
      <c r="AV18" s="55"/>
      <c r="AW18" s="157"/>
      <c r="AX18" s="158" t="s">
        <v>90</v>
      </c>
      <c r="AY18" s="158" t="s">
        <v>91</v>
      </c>
      <c r="AZ18" s="158" t="str">
        <f t="shared" si="3"/>
        <v>工业钦州港</v>
      </c>
      <c r="BA18" s="158" t="str">
        <f t="shared" si="4"/>
        <v>工业</v>
      </c>
      <c r="BB18" s="159"/>
      <c r="BC18" s="160"/>
      <c r="BD18" s="157"/>
      <c r="BE18" s="157"/>
      <c r="BF18" s="157"/>
      <c r="BG18" s="157"/>
      <c r="BH18" s="157"/>
      <c r="BI18" s="181"/>
      <c r="BJ18" s="157" t="str">
        <f t="shared" si="5"/>
        <v>钦州港区管委6月</v>
      </c>
      <c r="BK18" s="157" t="s">
        <v>92</v>
      </c>
      <c r="BL18" s="157" t="s">
        <v>93</v>
      </c>
      <c r="BM18" s="201" t="str">
        <f t="shared" si="6"/>
        <v>企业钦州港区管委</v>
      </c>
      <c r="BN18" s="201" t="str">
        <f t="shared" si="7"/>
        <v>产业钦州港区管委</v>
      </c>
      <c r="BO18" s="201">
        <f t="shared" si="13"/>
        <v>0</v>
      </c>
      <c r="BP18" s="157"/>
      <c r="BQ18" s="157">
        <f t="shared" si="8"/>
        <v>0</v>
      </c>
      <c r="BR18" s="157">
        <f t="shared" si="9"/>
        <v>0</v>
      </c>
      <c r="BS18" s="157">
        <f t="shared" si="10"/>
        <v>0</v>
      </c>
      <c r="BT18" s="157">
        <f t="shared" si="11"/>
        <v>0</v>
      </c>
      <c r="BU18" s="157">
        <f t="shared" si="12"/>
        <v>0</v>
      </c>
      <c r="BV18" s="181"/>
      <c r="BW18" s="206"/>
      <c r="BZ18" s="7" t="s">
        <v>1890</v>
      </c>
    </row>
    <row r="19" ht="63.75" customHeight="1" spans="1:81">
      <c r="A19" s="23">
        <f>SUBTOTAL(3,C$10:C19)</f>
        <v>10</v>
      </c>
      <c r="B19" s="60" t="s">
        <v>158</v>
      </c>
      <c r="C19" s="23" t="s">
        <v>79</v>
      </c>
      <c r="D19" s="88" t="s">
        <v>159</v>
      </c>
      <c r="E19" s="23" t="s">
        <v>112</v>
      </c>
      <c r="F19" s="67">
        <v>35000</v>
      </c>
      <c r="G19" s="67"/>
      <c r="H19" s="81" t="s">
        <v>82</v>
      </c>
      <c r="I19" s="81"/>
      <c r="J19" s="81"/>
      <c r="K19" s="81"/>
      <c r="L19" s="67">
        <v>5000</v>
      </c>
      <c r="M19" s="67"/>
      <c r="N19" s="123" t="s">
        <v>160</v>
      </c>
      <c r="O19" s="111"/>
      <c r="P19" s="67"/>
      <c r="Q19" s="115"/>
      <c r="R19" s="115"/>
      <c r="S19" s="115"/>
      <c r="T19" s="115"/>
      <c r="U19" s="115"/>
      <c r="V19" s="115"/>
      <c r="W19" s="115"/>
      <c r="X19" s="90" t="s">
        <v>1901</v>
      </c>
      <c r="Y19" s="90" t="s">
        <v>117</v>
      </c>
      <c r="Z19" s="132">
        <v>80</v>
      </c>
      <c r="AA19" s="132"/>
      <c r="AB19" s="132"/>
      <c r="AC19" s="132"/>
      <c r="AD19" s="132"/>
      <c r="AE19" s="132"/>
      <c r="AF19" s="132"/>
      <c r="AG19" s="132"/>
      <c r="AH19" s="132"/>
      <c r="AI19" s="132"/>
      <c r="AJ19" s="132"/>
      <c r="AK19" s="132"/>
      <c r="AL19" s="132"/>
      <c r="AM19" s="132"/>
      <c r="AN19" s="132"/>
      <c r="AO19" s="132"/>
      <c r="AP19" s="132"/>
      <c r="AQ19" s="90"/>
      <c r="AR19" s="112" t="s">
        <v>117</v>
      </c>
      <c r="AS19" s="123" t="s">
        <v>161</v>
      </c>
      <c r="AT19" s="67" t="s">
        <v>1902</v>
      </c>
      <c r="AU19" s="67" t="s">
        <v>119</v>
      </c>
      <c r="AV19" s="93"/>
      <c r="AW19" s="157"/>
      <c r="AX19" s="158" t="s">
        <v>90</v>
      </c>
      <c r="AY19" s="158" t="s">
        <v>91</v>
      </c>
      <c r="AZ19" s="158" t="str">
        <f t="shared" si="3"/>
        <v>工业钦州港</v>
      </c>
      <c r="BA19" s="158" t="str">
        <f t="shared" si="4"/>
        <v>工业</v>
      </c>
      <c r="BB19" s="159"/>
      <c r="BC19" s="160"/>
      <c r="BD19" s="157"/>
      <c r="BE19" s="157"/>
      <c r="BF19" s="157"/>
      <c r="BG19" s="157"/>
      <c r="BH19" s="157"/>
      <c r="BI19" s="181"/>
      <c r="BJ19" s="157" t="str">
        <f t="shared" si="5"/>
        <v>钦州港区管委10月</v>
      </c>
      <c r="BK19" s="157" t="s">
        <v>92</v>
      </c>
      <c r="BL19" s="157" t="s">
        <v>93</v>
      </c>
      <c r="BM19" s="201" t="str">
        <f t="shared" si="6"/>
        <v>企业钦州港区管委</v>
      </c>
      <c r="BN19" s="201" t="str">
        <f t="shared" si="7"/>
        <v>产业钦州港区管委</v>
      </c>
      <c r="BO19" s="201">
        <f t="shared" si="13"/>
        <v>0</v>
      </c>
      <c r="BP19" s="157"/>
      <c r="BQ19" s="157">
        <f t="shared" si="8"/>
        <v>1</v>
      </c>
      <c r="BR19" s="157">
        <f t="shared" si="9"/>
        <v>0</v>
      </c>
      <c r="BS19" s="157">
        <f t="shared" si="10"/>
        <v>0</v>
      </c>
      <c r="BT19" s="157">
        <f t="shared" si="11"/>
        <v>0</v>
      </c>
      <c r="BU19" s="157">
        <f t="shared" si="12"/>
        <v>0</v>
      </c>
      <c r="BV19" s="181"/>
      <c r="BW19" s="206"/>
      <c r="BY19" s="4"/>
      <c r="BZ19" s="4"/>
      <c r="CA19" s="4"/>
      <c r="CB19" s="4"/>
      <c r="CC19" s="4"/>
    </row>
    <row r="20" s="9" customFormat="1" ht="15.75" customHeight="1" spans="1:74">
      <c r="A20" s="23"/>
      <c r="B20" s="557" t="str">
        <f>"保税港（"&amp;SUBTOTAL(3,C21:C23)&amp;"个）"</f>
        <v>保税港（3个）</v>
      </c>
      <c r="C20" s="551"/>
      <c r="D20" s="554"/>
      <c r="E20" s="551"/>
      <c r="F20" s="134">
        <f>SUBTOTAL(9,F21:G23)</f>
        <v>20333</v>
      </c>
      <c r="G20" s="134">
        <f t="shared" ref="G20:M20" si="14">SUBTOTAL(9,G21:H23)</f>
        <v>0</v>
      </c>
      <c r="H20" s="134"/>
      <c r="I20" s="134"/>
      <c r="J20" s="134">
        <f t="shared" si="14"/>
        <v>13500</v>
      </c>
      <c r="K20" s="134">
        <f t="shared" si="14"/>
        <v>19500</v>
      </c>
      <c r="L20" s="134">
        <f>SUBTOTAL(9,L21:L23)</f>
        <v>11000</v>
      </c>
      <c r="M20" s="134">
        <f t="shared" si="14"/>
        <v>6000</v>
      </c>
      <c r="N20" s="591"/>
      <c r="O20" s="133"/>
      <c r="P20" s="134"/>
      <c r="Q20" s="134"/>
      <c r="R20" s="134"/>
      <c r="S20" s="134"/>
      <c r="T20" s="134"/>
      <c r="U20" s="134"/>
      <c r="V20" s="134"/>
      <c r="W20" s="134"/>
      <c r="X20" s="90"/>
      <c r="Y20" s="90"/>
      <c r="Z20" s="132"/>
      <c r="AA20" s="132"/>
      <c r="AB20" s="132"/>
      <c r="AC20" s="132"/>
      <c r="AD20" s="132"/>
      <c r="AE20" s="132"/>
      <c r="AF20" s="132"/>
      <c r="AG20" s="132"/>
      <c r="AH20" s="132"/>
      <c r="AI20" s="132"/>
      <c r="AJ20" s="132"/>
      <c r="AK20" s="132"/>
      <c r="AL20" s="132"/>
      <c r="AM20" s="132"/>
      <c r="AN20" s="132"/>
      <c r="AO20" s="132"/>
      <c r="AP20" s="132"/>
      <c r="AQ20" s="90"/>
      <c r="AR20" s="112"/>
      <c r="AS20" s="591"/>
      <c r="AT20" s="134"/>
      <c r="AU20" s="134"/>
      <c r="AV20" s="93"/>
      <c r="AW20" s="165"/>
      <c r="AX20" s="158"/>
      <c r="AY20" s="158"/>
      <c r="AZ20" s="158"/>
      <c r="BA20" s="158"/>
      <c r="BB20" s="169"/>
      <c r="BC20" s="165"/>
      <c r="BD20" s="165"/>
      <c r="BE20" s="165"/>
      <c r="BF20" s="169"/>
      <c r="BG20" s="169"/>
      <c r="BH20" s="169"/>
      <c r="BI20" s="183"/>
      <c r="BJ20" s="165"/>
      <c r="BK20" s="157"/>
      <c r="BL20" s="157"/>
      <c r="BN20" s="201"/>
      <c r="BO20" s="7"/>
      <c r="BP20" s="157"/>
      <c r="BQ20" s="157"/>
      <c r="BR20" s="157"/>
      <c r="BS20" s="157"/>
      <c r="BT20" s="157"/>
      <c r="BU20" s="157"/>
      <c r="BV20" s="183"/>
    </row>
    <row r="21" ht="80.25" customHeight="1" spans="1:81">
      <c r="A21" s="23">
        <f>SUBTOTAL(3,C$10:C21)</f>
        <v>11</v>
      </c>
      <c r="B21" s="24" t="s">
        <v>162</v>
      </c>
      <c r="C21" s="25" t="s">
        <v>79</v>
      </c>
      <c r="D21" s="756" t="s">
        <v>163</v>
      </c>
      <c r="E21" s="178" t="s">
        <v>112</v>
      </c>
      <c r="F21" s="757">
        <v>9333</v>
      </c>
      <c r="G21" s="268"/>
      <c r="H21" s="81" t="s">
        <v>122</v>
      </c>
      <c r="I21" s="67">
        <v>500</v>
      </c>
      <c r="J21" s="67">
        <v>2000</v>
      </c>
      <c r="K21" s="67">
        <v>2500</v>
      </c>
      <c r="L21" s="757">
        <v>3000</v>
      </c>
      <c r="M21" s="36"/>
      <c r="N21" s="58" t="s">
        <v>164</v>
      </c>
      <c r="O21" s="56"/>
      <c r="P21" s="76"/>
      <c r="Q21" s="730" t="s">
        <v>115</v>
      </c>
      <c r="R21" s="730" t="s">
        <v>115</v>
      </c>
      <c r="S21" s="132"/>
      <c r="T21" s="132"/>
      <c r="U21" s="132"/>
      <c r="V21" s="132"/>
      <c r="W21" s="132"/>
      <c r="X21" s="634"/>
      <c r="Y21" s="90"/>
      <c r="Z21" s="132"/>
      <c r="AA21" s="132"/>
      <c r="AB21" s="132"/>
      <c r="AC21" s="132"/>
      <c r="AD21" s="132"/>
      <c r="AE21" s="132"/>
      <c r="AF21" s="132"/>
      <c r="AG21" s="132"/>
      <c r="AH21" s="132"/>
      <c r="AI21" s="132"/>
      <c r="AJ21" s="132"/>
      <c r="AK21" s="132"/>
      <c r="AL21" s="132"/>
      <c r="AM21" s="132"/>
      <c r="AN21" s="132"/>
      <c r="AO21" s="76">
        <v>3000</v>
      </c>
      <c r="AP21" s="132"/>
      <c r="AQ21" s="90"/>
      <c r="AR21" s="112" t="s">
        <v>117</v>
      </c>
      <c r="AS21" s="24" t="s">
        <v>165</v>
      </c>
      <c r="AT21" s="25" t="s">
        <v>1903</v>
      </c>
      <c r="AU21" s="67" t="s">
        <v>166</v>
      </c>
      <c r="AV21" s="93"/>
      <c r="AW21" s="157"/>
      <c r="AX21" s="158" t="s">
        <v>167</v>
      </c>
      <c r="AY21" s="158" t="s">
        <v>91</v>
      </c>
      <c r="AZ21" s="158" t="str">
        <f t="shared" ref="AZ21:AZ23" si="15">AY21&amp;AX21</f>
        <v>工业保税港</v>
      </c>
      <c r="BA21" s="158" t="str">
        <f t="shared" ref="BA21:BA23" si="16">AY21</f>
        <v>工业</v>
      </c>
      <c r="BB21" s="159"/>
      <c r="BC21" s="160"/>
      <c r="BD21" s="157"/>
      <c r="BE21" s="157"/>
      <c r="BF21" s="157"/>
      <c r="BG21" s="157"/>
      <c r="BH21" s="157"/>
      <c r="BI21" s="157"/>
      <c r="BJ21" s="157" t="str">
        <f t="shared" ref="BJ21:BJ23" si="17">AU21&amp;H21</f>
        <v>钦州保税港区管委6月</v>
      </c>
      <c r="BK21" s="157" t="s">
        <v>92</v>
      </c>
      <c r="BL21" s="157" t="s">
        <v>93</v>
      </c>
      <c r="BM21" s="201" t="str">
        <f t="shared" ref="BM21:BM23" si="18">BK21&amp;AU21</f>
        <v>企业钦州保税港区管委</v>
      </c>
      <c r="BN21" s="201" t="str">
        <f t="shared" ref="BN21:BN23" si="19">BL21&amp;AU21</f>
        <v>产业钦州保税港区管委</v>
      </c>
      <c r="BO21" s="201">
        <f t="shared" ref="BO21:BO23" si="20">IF(O21&gt;0,1,0)</f>
        <v>0</v>
      </c>
      <c r="BP21" s="157"/>
      <c r="BQ21" s="157">
        <f t="shared" ref="BQ21:BQ23" si="21">IF(Z21&gt;0,1,0)</f>
        <v>0</v>
      </c>
      <c r="BR21" s="157">
        <f t="shared" ref="BR21:BR23" si="22">IF(AF21&gt;0,1,0)</f>
        <v>0</v>
      </c>
      <c r="BS21" s="157">
        <f t="shared" ref="BS21:BS23" si="23">IF(AC21&gt;0,1,0)</f>
        <v>0</v>
      </c>
      <c r="BT21" s="157">
        <f t="shared" ref="BT21:BT23" si="24">IF(AI21&gt;0,1,0)</f>
        <v>0</v>
      </c>
      <c r="BU21" s="157">
        <f t="shared" ref="BU21:BU23" si="25">IF(AL21&gt;0,1,0)</f>
        <v>0</v>
      </c>
      <c r="BV21" s="157"/>
      <c r="BW21" s="206"/>
      <c r="BX21" s="4" t="s">
        <v>1904</v>
      </c>
      <c r="BY21" s="4"/>
      <c r="BZ21" s="7" t="s">
        <v>1890</v>
      </c>
      <c r="CA21" s="4"/>
      <c r="CB21" s="4"/>
      <c r="CC21" s="4"/>
    </row>
    <row r="22" ht="80.25" customHeight="1" spans="1:81">
      <c r="A22" s="23">
        <f>SUBTOTAL(3,C$10:C22)</f>
        <v>12</v>
      </c>
      <c r="B22" s="88" t="s">
        <v>168</v>
      </c>
      <c r="C22" s="23" t="s">
        <v>79</v>
      </c>
      <c r="D22" s="88" t="s">
        <v>169</v>
      </c>
      <c r="E22" s="23" t="s">
        <v>112</v>
      </c>
      <c r="F22" s="67">
        <v>7000</v>
      </c>
      <c r="G22" s="268"/>
      <c r="H22" s="81" t="s">
        <v>122</v>
      </c>
      <c r="I22" s="67"/>
      <c r="J22" s="67"/>
      <c r="K22" s="67">
        <v>2000</v>
      </c>
      <c r="L22" s="67">
        <v>4000</v>
      </c>
      <c r="M22" s="26"/>
      <c r="N22" s="103" t="s">
        <v>170</v>
      </c>
      <c r="O22" s="56"/>
      <c r="P22" s="76"/>
      <c r="Q22" s="730" t="s">
        <v>115</v>
      </c>
      <c r="R22" s="730" t="s">
        <v>115</v>
      </c>
      <c r="S22" s="132"/>
      <c r="T22" s="132"/>
      <c r="U22" s="132"/>
      <c r="V22" s="132"/>
      <c r="W22" s="132"/>
      <c r="X22" s="634"/>
      <c r="Y22" s="90"/>
      <c r="Z22" s="112">
        <v>78</v>
      </c>
      <c r="AA22" s="112">
        <v>78</v>
      </c>
      <c r="AB22" s="112"/>
      <c r="AC22" s="112"/>
      <c r="AD22" s="112"/>
      <c r="AE22" s="112"/>
      <c r="AF22" s="112"/>
      <c r="AG22" s="112"/>
      <c r="AH22" s="112"/>
      <c r="AI22" s="112"/>
      <c r="AJ22" s="112"/>
      <c r="AK22" s="112"/>
      <c r="AL22" s="112"/>
      <c r="AM22" s="112"/>
      <c r="AN22" s="112"/>
      <c r="AO22" s="112"/>
      <c r="AP22" s="112">
        <v>4000</v>
      </c>
      <c r="AQ22" s="90"/>
      <c r="AR22" s="112" t="s">
        <v>1905</v>
      </c>
      <c r="AS22" s="131" t="s">
        <v>172</v>
      </c>
      <c r="AT22" s="81" t="s">
        <v>1906</v>
      </c>
      <c r="AU22" s="67" t="s">
        <v>166</v>
      </c>
      <c r="AV22" s="93"/>
      <c r="AW22" s="157"/>
      <c r="AX22" s="158" t="s">
        <v>167</v>
      </c>
      <c r="AY22" s="158" t="s">
        <v>91</v>
      </c>
      <c r="AZ22" s="158" t="str">
        <f t="shared" si="15"/>
        <v>工业保税港</v>
      </c>
      <c r="BA22" s="158" t="str">
        <f t="shared" si="16"/>
        <v>工业</v>
      </c>
      <c r="BB22" s="159"/>
      <c r="BC22" s="160"/>
      <c r="BD22" s="157"/>
      <c r="BE22" s="157"/>
      <c r="BF22" s="157"/>
      <c r="BG22" s="157"/>
      <c r="BH22" s="157"/>
      <c r="BI22" s="157"/>
      <c r="BJ22" s="157" t="str">
        <f t="shared" si="17"/>
        <v>钦州保税港区管委6月</v>
      </c>
      <c r="BK22" s="157" t="s">
        <v>92</v>
      </c>
      <c r="BL22" s="157" t="s">
        <v>93</v>
      </c>
      <c r="BM22" s="201" t="str">
        <f t="shared" si="18"/>
        <v>企业钦州保税港区管委</v>
      </c>
      <c r="BN22" s="201" t="str">
        <f t="shared" si="19"/>
        <v>产业钦州保税港区管委</v>
      </c>
      <c r="BO22" s="201">
        <f t="shared" si="20"/>
        <v>0</v>
      </c>
      <c r="BP22" s="157"/>
      <c r="BQ22" s="157">
        <f t="shared" si="21"/>
        <v>1</v>
      </c>
      <c r="BR22" s="157">
        <f t="shared" si="22"/>
        <v>0</v>
      </c>
      <c r="BS22" s="157">
        <f t="shared" si="23"/>
        <v>0</v>
      </c>
      <c r="BT22" s="157">
        <f t="shared" si="24"/>
        <v>0</v>
      </c>
      <c r="BU22" s="157">
        <f t="shared" si="25"/>
        <v>0</v>
      </c>
      <c r="BV22" s="157"/>
      <c r="BW22" s="206"/>
      <c r="BX22" s="4" t="s">
        <v>1904</v>
      </c>
      <c r="BY22" s="4"/>
      <c r="BZ22" s="7" t="s">
        <v>1890</v>
      </c>
      <c r="CA22" s="4"/>
      <c r="CB22" s="4"/>
      <c r="CC22" s="4"/>
    </row>
    <row r="23" ht="80.25" customHeight="1" spans="1:81">
      <c r="A23" s="23">
        <f>SUBTOTAL(3,C$10:C23)</f>
        <v>13</v>
      </c>
      <c r="B23" s="88" t="s">
        <v>175</v>
      </c>
      <c r="C23" s="23" t="s">
        <v>79</v>
      </c>
      <c r="D23" s="756" t="s">
        <v>176</v>
      </c>
      <c r="E23" s="178">
        <v>2019</v>
      </c>
      <c r="F23" s="67">
        <v>4000</v>
      </c>
      <c r="G23" s="268"/>
      <c r="H23" s="81" t="s">
        <v>177</v>
      </c>
      <c r="I23" s="67"/>
      <c r="J23" s="67">
        <v>3000</v>
      </c>
      <c r="K23" s="67">
        <v>4000</v>
      </c>
      <c r="L23" s="67">
        <v>4000</v>
      </c>
      <c r="M23" s="26">
        <v>6000</v>
      </c>
      <c r="N23" s="103" t="s">
        <v>178</v>
      </c>
      <c r="O23" s="56"/>
      <c r="P23" s="76"/>
      <c r="Q23" s="730" t="s">
        <v>115</v>
      </c>
      <c r="R23" s="730" t="s">
        <v>115</v>
      </c>
      <c r="S23" s="132"/>
      <c r="T23" s="132"/>
      <c r="U23" s="132"/>
      <c r="V23" s="132"/>
      <c r="W23" s="132"/>
      <c r="X23" s="634"/>
      <c r="Y23" s="90"/>
      <c r="Z23" s="112">
        <v>75</v>
      </c>
      <c r="AA23" s="112">
        <v>75</v>
      </c>
      <c r="AB23" s="112"/>
      <c r="AC23" s="112"/>
      <c r="AD23" s="112"/>
      <c r="AE23" s="112"/>
      <c r="AF23" s="112"/>
      <c r="AG23" s="112"/>
      <c r="AH23" s="112"/>
      <c r="AI23" s="112"/>
      <c r="AJ23" s="112"/>
      <c r="AK23" s="112"/>
      <c r="AL23" s="112"/>
      <c r="AM23" s="112"/>
      <c r="AN23" s="112"/>
      <c r="AO23" s="112">
        <v>4000</v>
      </c>
      <c r="AP23" s="112"/>
      <c r="AQ23" s="90"/>
      <c r="AR23" s="112" t="s">
        <v>117</v>
      </c>
      <c r="AS23" s="131" t="s">
        <v>172</v>
      </c>
      <c r="AT23" s="81" t="s">
        <v>1907</v>
      </c>
      <c r="AU23" s="67" t="s">
        <v>166</v>
      </c>
      <c r="AV23" s="93"/>
      <c r="AW23" s="157"/>
      <c r="AX23" s="158" t="s">
        <v>167</v>
      </c>
      <c r="AY23" s="158" t="s">
        <v>91</v>
      </c>
      <c r="AZ23" s="158" t="str">
        <f t="shared" si="15"/>
        <v>工业保税港</v>
      </c>
      <c r="BA23" s="158" t="str">
        <f t="shared" si="16"/>
        <v>工业</v>
      </c>
      <c r="BB23" s="159"/>
      <c r="BC23" s="160"/>
      <c r="BD23" s="157"/>
      <c r="BE23" s="157"/>
      <c r="BF23" s="157"/>
      <c r="BG23" s="157"/>
      <c r="BH23" s="157"/>
      <c r="BI23" s="157"/>
      <c r="BJ23" s="157" t="str">
        <f t="shared" si="17"/>
        <v>钦州保税港区管委4月</v>
      </c>
      <c r="BK23" s="157" t="s">
        <v>92</v>
      </c>
      <c r="BL23" s="157" t="s">
        <v>93</v>
      </c>
      <c r="BM23" s="201" t="str">
        <f t="shared" si="18"/>
        <v>企业钦州保税港区管委</v>
      </c>
      <c r="BN23" s="201" t="str">
        <f t="shared" si="19"/>
        <v>产业钦州保税港区管委</v>
      </c>
      <c r="BO23" s="201">
        <f t="shared" si="20"/>
        <v>0</v>
      </c>
      <c r="BP23" s="157"/>
      <c r="BQ23" s="157">
        <f t="shared" si="21"/>
        <v>1</v>
      </c>
      <c r="BR23" s="157">
        <f t="shared" si="22"/>
        <v>0</v>
      </c>
      <c r="BS23" s="157">
        <f t="shared" si="23"/>
        <v>0</v>
      </c>
      <c r="BT23" s="157">
        <f t="shared" si="24"/>
        <v>0</v>
      </c>
      <c r="BU23" s="157">
        <f t="shared" si="25"/>
        <v>0</v>
      </c>
      <c r="BV23" s="157"/>
      <c r="BW23" s="206"/>
      <c r="BX23" s="4" t="s">
        <v>1904</v>
      </c>
      <c r="BY23" s="4"/>
      <c r="BZ23" s="7" t="s">
        <v>1890</v>
      </c>
      <c r="CA23" s="4"/>
      <c r="CB23" s="4"/>
      <c r="CC23" s="4"/>
    </row>
    <row r="24" s="9" customFormat="1" ht="15.75" customHeight="1" spans="1:74">
      <c r="A24" s="23"/>
      <c r="B24" s="557" t="str">
        <f>"中马园（"&amp;SUBTOTAL(3,C25:C34)&amp;"个）"</f>
        <v>中马园（10个）</v>
      </c>
      <c r="C24" s="551"/>
      <c r="D24" s="554"/>
      <c r="E24" s="551"/>
      <c r="F24" s="134">
        <f t="shared" ref="F24:M24" si="26">SUBTOTAL(9,F25:F34)</f>
        <v>2632321</v>
      </c>
      <c r="G24" s="134"/>
      <c r="H24" s="134"/>
      <c r="I24" s="134">
        <f t="shared" si="26"/>
        <v>6900</v>
      </c>
      <c r="J24" s="134">
        <f t="shared" si="26"/>
        <v>34050</v>
      </c>
      <c r="K24" s="134">
        <f t="shared" si="26"/>
        <v>114975</v>
      </c>
      <c r="L24" s="134">
        <f t="shared" si="26"/>
        <v>355500</v>
      </c>
      <c r="M24" s="134">
        <f t="shared" si="26"/>
        <v>0</v>
      </c>
      <c r="N24" s="591"/>
      <c r="O24" s="133"/>
      <c r="P24" s="134"/>
      <c r="Q24" s="134"/>
      <c r="R24" s="134"/>
      <c r="S24" s="134"/>
      <c r="T24" s="134"/>
      <c r="U24" s="134"/>
      <c r="V24" s="134"/>
      <c r="W24" s="134"/>
      <c r="X24" s="90"/>
      <c r="Y24" s="90"/>
      <c r="Z24" s="132"/>
      <c r="AA24" s="132"/>
      <c r="AB24" s="132"/>
      <c r="AC24" s="132"/>
      <c r="AD24" s="132"/>
      <c r="AE24" s="132"/>
      <c r="AF24" s="132"/>
      <c r="AG24" s="132"/>
      <c r="AH24" s="132"/>
      <c r="AI24" s="132"/>
      <c r="AJ24" s="132"/>
      <c r="AK24" s="132"/>
      <c r="AL24" s="132"/>
      <c r="AM24" s="132"/>
      <c r="AN24" s="132"/>
      <c r="AO24" s="132"/>
      <c r="AP24" s="132"/>
      <c r="AQ24" s="90"/>
      <c r="AR24" s="112"/>
      <c r="AS24" s="591"/>
      <c r="AT24" s="134"/>
      <c r="AU24" s="134"/>
      <c r="AV24" s="93"/>
      <c r="AW24" s="165"/>
      <c r="AX24" s="158"/>
      <c r="AY24" s="158"/>
      <c r="AZ24" s="158"/>
      <c r="BA24" s="158"/>
      <c r="BB24" s="169"/>
      <c r="BC24" s="165"/>
      <c r="BD24" s="165"/>
      <c r="BE24" s="165"/>
      <c r="BF24" s="169"/>
      <c r="BG24" s="169"/>
      <c r="BH24" s="169"/>
      <c r="BI24" s="183"/>
      <c r="BJ24" s="165"/>
      <c r="BK24" s="157"/>
      <c r="BL24" s="157"/>
      <c r="BN24" s="201"/>
      <c r="BO24" s="7"/>
      <c r="BP24" s="157"/>
      <c r="BQ24" s="157"/>
      <c r="BR24" s="157"/>
      <c r="BS24" s="157"/>
      <c r="BT24" s="157"/>
      <c r="BU24" s="157"/>
      <c r="BV24" s="183"/>
    </row>
    <row r="25" ht="80.25" customHeight="1" spans="1:81">
      <c r="A25" s="23">
        <f>SUBTOTAL(3,C$10:C25)</f>
        <v>14</v>
      </c>
      <c r="B25" s="758" t="s">
        <v>179</v>
      </c>
      <c r="C25" s="23" t="s">
        <v>79</v>
      </c>
      <c r="D25" s="758" t="s">
        <v>180</v>
      </c>
      <c r="E25" s="89" t="s">
        <v>112</v>
      </c>
      <c r="F25" s="268">
        <v>1000000</v>
      </c>
      <c r="G25" s="268"/>
      <c r="H25" s="81" t="s">
        <v>177</v>
      </c>
      <c r="I25" s="81"/>
      <c r="J25" s="37">
        <v>10000</v>
      </c>
      <c r="K25" s="37">
        <v>60000</v>
      </c>
      <c r="L25" s="36">
        <v>250000</v>
      </c>
      <c r="M25" s="36"/>
      <c r="N25" s="112" t="s">
        <v>181</v>
      </c>
      <c r="O25" s="56"/>
      <c r="P25" s="76"/>
      <c r="Q25" s="730" t="s">
        <v>115</v>
      </c>
      <c r="R25" s="730" t="s">
        <v>115</v>
      </c>
      <c r="S25" s="132"/>
      <c r="T25" s="132"/>
      <c r="U25" s="132"/>
      <c r="V25" s="132"/>
      <c r="W25" s="132"/>
      <c r="X25" s="634" t="s">
        <v>182</v>
      </c>
      <c r="Y25" s="90" t="s">
        <v>183</v>
      </c>
      <c r="Z25" s="132">
        <v>650</v>
      </c>
      <c r="AA25" s="132">
        <v>650</v>
      </c>
      <c r="AB25" s="132"/>
      <c r="AC25" s="132"/>
      <c r="AD25" s="132"/>
      <c r="AE25" s="132"/>
      <c r="AF25" s="132"/>
      <c r="AG25" s="132"/>
      <c r="AH25" s="132"/>
      <c r="AI25" s="132"/>
      <c r="AJ25" s="132"/>
      <c r="AK25" s="132"/>
      <c r="AL25" s="132"/>
      <c r="AM25" s="132"/>
      <c r="AN25" s="132"/>
      <c r="AO25" s="132"/>
      <c r="AP25" s="132"/>
      <c r="AQ25" s="90"/>
      <c r="AR25" s="112" t="s">
        <v>183</v>
      </c>
      <c r="AS25" s="89" t="s">
        <v>184</v>
      </c>
      <c r="AT25" s="35" t="s">
        <v>1908</v>
      </c>
      <c r="AU25" s="35" t="s">
        <v>185</v>
      </c>
      <c r="AV25" s="93"/>
      <c r="AW25" s="157"/>
      <c r="AX25" s="158" t="s">
        <v>186</v>
      </c>
      <c r="AY25" s="158" t="s">
        <v>91</v>
      </c>
      <c r="AZ25" s="158" t="str">
        <f>AY25&amp;AX25</f>
        <v>工业中马园</v>
      </c>
      <c r="BA25" s="158" t="str">
        <f t="shared" si="4"/>
        <v>工业</v>
      </c>
      <c r="BB25" s="159"/>
      <c r="BC25" s="160"/>
      <c r="BD25" s="157"/>
      <c r="BE25" s="157"/>
      <c r="BF25" s="157"/>
      <c r="BG25" s="157"/>
      <c r="BH25" s="157"/>
      <c r="BI25" s="157"/>
      <c r="BJ25" s="157" t="str">
        <f>AU25&amp;H25</f>
        <v>中马钦州产业园区管委4月</v>
      </c>
      <c r="BK25" s="157" t="s">
        <v>92</v>
      </c>
      <c r="BL25" s="157" t="s">
        <v>93</v>
      </c>
      <c r="BM25" s="201" t="str">
        <f>BK25&amp;AU25</f>
        <v>企业中马钦州产业园区管委</v>
      </c>
      <c r="BN25" s="201" t="str">
        <f>BL25&amp;AU25</f>
        <v>产业中马钦州产业园区管委</v>
      </c>
      <c r="BO25" s="201">
        <f t="shared" ref="BO25:BO34" si="27">IF(O25&gt;0,1,0)</f>
        <v>0</v>
      </c>
      <c r="BP25" s="157"/>
      <c r="BQ25" s="157">
        <f t="shared" ref="BQ25:BQ34" si="28">IF(Z25&gt;0,1,0)</f>
        <v>1</v>
      </c>
      <c r="BR25" s="157">
        <f t="shared" ref="BR25:BR34" si="29">IF(AF25&gt;0,1,0)</f>
        <v>0</v>
      </c>
      <c r="BS25" s="157">
        <f t="shared" ref="BS25:BS34" si="30">IF(AC25&gt;0,1,0)</f>
        <v>0</v>
      </c>
      <c r="BT25" s="157">
        <f t="shared" ref="BT25:BT34" si="31">IF(AI25&gt;0,1,0)</f>
        <v>0</v>
      </c>
      <c r="BU25" s="157">
        <f t="shared" ref="BU25:BU34" si="32">IF(AL25&gt;0,1,0)</f>
        <v>0</v>
      </c>
      <c r="BV25" s="157"/>
      <c r="BW25" s="206"/>
      <c r="BX25" s="4" t="s">
        <v>1904</v>
      </c>
      <c r="BY25" s="4"/>
      <c r="BZ25" s="7" t="s">
        <v>1890</v>
      </c>
      <c r="CA25" s="4"/>
      <c r="CB25" s="4"/>
      <c r="CC25" s="4"/>
    </row>
    <row r="26" ht="71.25" customHeight="1" spans="1:81">
      <c r="A26" s="23">
        <f>SUBTOTAL(3,C$10:C26)</f>
        <v>15</v>
      </c>
      <c r="B26" s="55" t="s">
        <v>187</v>
      </c>
      <c r="C26" s="23" t="s">
        <v>79</v>
      </c>
      <c r="D26" s="55" t="s">
        <v>1909</v>
      </c>
      <c r="E26" s="35" t="s">
        <v>81</v>
      </c>
      <c r="F26" s="36">
        <v>880000</v>
      </c>
      <c r="G26" s="36"/>
      <c r="H26" s="83" t="s">
        <v>82</v>
      </c>
      <c r="I26" s="578"/>
      <c r="J26" s="578"/>
      <c r="K26" s="578">
        <v>10600</v>
      </c>
      <c r="L26" s="36">
        <v>40000</v>
      </c>
      <c r="M26" s="36"/>
      <c r="N26" s="112" t="s">
        <v>189</v>
      </c>
      <c r="O26" s="56"/>
      <c r="P26" s="36"/>
      <c r="Q26" s="730" t="s">
        <v>115</v>
      </c>
      <c r="R26" s="730" t="s">
        <v>115</v>
      </c>
      <c r="S26" s="730" t="s">
        <v>115</v>
      </c>
      <c r="T26" s="99"/>
      <c r="U26" s="99"/>
      <c r="V26" s="730" t="s">
        <v>115</v>
      </c>
      <c r="W26" s="99"/>
      <c r="X26" s="90" t="s">
        <v>190</v>
      </c>
      <c r="Y26" s="90" t="s">
        <v>191</v>
      </c>
      <c r="Z26" s="132">
        <v>1500</v>
      </c>
      <c r="AA26" s="132">
        <v>505</v>
      </c>
      <c r="AB26" s="132">
        <v>995</v>
      </c>
      <c r="AC26" s="132"/>
      <c r="AD26" s="132"/>
      <c r="AE26" s="132"/>
      <c r="AF26" s="132"/>
      <c r="AG26" s="132"/>
      <c r="AH26" s="132"/>
      <c r="AI26" s="132">
        <v>505</v>
      </c>
      <c r="AJ26" s="132">
        <v>505</v>
      </c>
      <c r="AK26" s="132"/>
      <c r="AL26" s="132">
        <v>40000</v>
      </c>
      <c r="AM26" s="132"/>
      <c r="AN26" s="132"/>
      <c r="AO26" s="132">
        <v>6000</v>
      </c>
      <c r="AP26" s="132">
        <v>34000</v>
      </c>
      <c r="AQ26" s="90"/>
      <c r="AR26" s="112" t="s">
        <v>183</v>
      </c>
      <c r="AS26" s="34" t="s">
        <v>1910</v>
      </c>
      <c r="AT26" s="35" t="s">
        <v>1911</v>
      </c>
      <c r="AU26" s="35" t="s">
        <v>185</v>
      </c>
      <c r="AV26" s="93"/>
      <c r="AW26" s="157"/>
      <c r="AX26" s="158" t="s">
        <v>186</v>
      </c>
      <c r="AY26" s="158" t="s">
        <v>91</v>
      </c>
      <c r="AZ26" s="158" t="str">
        <f>AY26&amp;AX26</f>
        <v>工业中马园</v>
      </c>
      <c r="BA26" s="158" t="str">
        <f t="shared" si="4"/>
        <v>工业</v>
      </c>
      <c r="BB26" s="159"/>
      <c r="BC26" s="160"/>
      <c r="BD26" s="157"/>
      <c r="BE26" s="157"/>
      <c r="BF26" s="157"/>
      <c r="BG26" s="157"/>
      <c r="BH26" s="157"/>
      <c r="BI26" s="157"/>
      <c r="BJ26" s="157" t="str">
        <f>AU26&amp;H26</f>
        <v>中马钦州产业园区管委10月</v>
      </c>
      <c r="BK26" s="157" t="s">
        <v>92</v>
      </c>
      <c r="BL26" s="157" t="s">
        <v>93</v>
      </c>
      <c r="BM26" s="201" t="str">
        <f>BK26&amp;AU26</f>
        <v>企业中马钦州产业园区管委</v>
      </c>
      <c r="BN26" s="201" t="str">
        <f>BL26&amp;AU26</f>
        <v>产业中马钦州产业园区管委</v>
      </c>
      <c r="BO26" s="201">
        <f t="shared" si="27"/>
        <v>0</v>
      </c>
      <c r="BP26" s="157"/>
      <c r="BQ26" s="157">
        <f t="shared" si="28"/>
        <v>1</v>
      </c>
      <c r="BR26" s="157">
        <f t="shared" si="29"/>
        <v>0</v>
      </c>
      <c r="BS26" s="157">
        <f t="shared" si="30"/>
        <v>0</v>
      </c>
      <c r="BT26" s="157">
        <f t="shared" si="31"/>
        <v>1</v>
      </c>
      <c r="BU26" s="157">
        <f t="shared" si="32"/>
        <v>1</v>
      </c>
      <c r="BV26" s="157"/>
      <c r="BW26" s="206"/>
      <c r="BX26" s="4" t="s">
        <v>1895</v>
      </c>
      <c r="BY26" s="4"/>
      <c r="BZ26" s="7" t="s">
        <v>1890</v>
      </c>
      <c r="CA26" s="4"/>
      <c r="CB26" s="4"/>
      <c r="CC26" s="4"/>
    </row>
    <row r="27" ht="80.25" customHeight="1" spans="1:81">
      <c r="A27" s="23">
        <f>SUBTOTAL(3,C$10:C27)</f>
        <v>16</v>
      </c>
      <c r="B27" s="55" t="s">
        <v>193</v>
      </c>
      <c r="C27" s="23" t="s">
        <v>79</v>
      </c>
      <c r="D27" s="55" t="s">
        <v>194</v>
      </c>
      <c r="E27" s="89" t="s">
        <v>81</v>
      </c>
      <c r="F27" s="36">
        <v>400000</v>
      </c>
      <c r="G27" s="36"/>
      <c r="H27" s="67" t="s">
        <v>195</v>
      </c>
      <c r="I27" s="67">
        <v>2000</v>
      </c>
      <c r="J27" s="67">
        <v>6300</v>
      </c>
      <c r="K27" s="67">
        <v>10600</v>
      </c>
      <c r="L27" s="724">
        <v>15000</v>
      </c>
      <c r="M27" s="724"/>
      <c r="N27" s="112" t="s">
        <v>196</v>
      </c>
      <c r="O27" s="56"/>
      <c r="P27" s="76"/>
      <c r="Q27" s="730" t="s">
        <v>115</v>
      </c>
      <c r="R27" s="730" t="s">
        <v>115</v>
      </c>
      <c r="S27" s="730" t="s">
        <v>115</v>
      </c>
      <c r="T27" s="730" t="s">
        <v>115</v>
      </c>
      <c r="U27" s="730" t="s">
        <v>115</v>
      </c>
      <c r="V27" s="730" t="s">
        <v>115</v>
      </c>
      <c r="W27" s="730" t="s">
        <v>115</v>
      </c>
      <c r="X27" s="90" t="s">
        <v>197</v>
      </c>
      <c r="Y27" s="90" t="s">
        <v>117</v>
      </c>
      <c r="Z27" s="132">
        <v>300</v>
      </c>
      <c r="AA27" s="132">
        <v>300</v>
      </c>
      <c r="AB27" s="132"/>
      <c r="AC27" s="132"/>
      <c r="AD27" s="132"/>
      <c r="AE27" s="132"/>
      <c r="AF27" s="132"/>
      <c r="AG27" s="132"/>
      <c r="AH27" s="132"/>
      <c r="AI27" s="132"/>
      <c r="AJ27" s="132"/>
      <c r="AK27" s="132"/>
      <c r="AL27" s="132">
        <v>15000</v>
      </c>
      <c r="AM27" s="132"/>
      <c r="AN27" s="132"/>
      <c r="AO27" s="132">
        <v>15000</v>
      </c>
      <c r="AP27" s="132"/>
      <c r="AQ27" s="90"/>
      <c r="AR27" s="742" t="s">
        <v>117</v>
      </c>
      <c r="AS27" s="34" t="s">
        <v>198</v>
      </c>
      <c r="AT27" s="35" t="s">
        <v>1912</v>
      </c>
      <c r="AU27" s="35" t="s">
        <v>185</v>
      </c>
      <c r="AV27" s="93"/>
      <c r="AW27" s="157"/>
      <c r="AX27" s="158" t="s">
        <v>186</v>
      </c>
      <c r="AY27" s="158" t="s">
        <v>91</v>
      </c>
      <c r="AZ27" s="158" t="str">
        <f t="shared" ref="AZ27:AZ34" si="33">AY27&amp;AX27</f>
        <v>工业中马园</v>
      </c>
      <c r="BA27" s="158" t="str">
        <f t="shared" si="4"/>
        <v>工业</v>
      </c>
      <c r="BB27" s="159"/>
      <c r="BC27" s="160"/>
      <c r="BD27" s="157"/>
      <c r="BE27" s="157"/>
      <c r="BF27" s="157"/>
      <c r="BG27" s="157"/>
      <c r="BH27" s="157"/>
      <c r="BI27" s="157"/>
      <c r="BJ27" s="157" t="str">
        <f t="shared" ref="BJ27:BJ34" si="34">AU27&amp;H27</f>
        <v>中马钦州产业园区管委3月</v>
      </c>
      <c r="BK27" s="157" t="s">
        <v>92</v>
      </c>
      <c r="BL27" s="157" t="s">
        <v>93</v>
      </c>
      <c r="BM27" s="201" t="str">
        <f t="shared" ref="BM27:BM34" si="35">BK27&amp;AU27</f>
        <v>企业中马钦州产业园区管委</v>
      </c>
      <c r="BN27" s="201" t="str">
        <f t="shared" ref="BN27:BN34" si="36">BL27&amp;AU27</f>
        <v>产业中马钦州产业园区管委</v>
      </c>
      <c r="BO27" s="201">
        <f t="shared" si="27"/>
        <v>0</v>
      </c>
      <c r="BP27" s="157"/>
      <c r="BQ27" s="157">
        <f t="shared" si="28"/>
        <v>1</v>
      </c>
      <c r="BR27" s="157">
        <f t="shared" si="29"/>
        <v>0</v>
      </c>
      <c r="BS27" s="157">
        <f t="shared" si="30"/>
        <v>0</v>
      </c>
      <c r="BT27" s="157">
        <f t="shared" si="31"/>
        <v>0</v>
      </c>
      <c r="BU27" s="157">
        <f t="shared" si="32"/>
        <v>1</v>
      </c>
      <c r="BV27" s="157"/>
      <c r="BW27" s="206"/>
      <c r="BX27" s="4" t="s">
        <v>1904</v>
      </c>
      <c r="BY27" s="4"/>
      <c r="BZ27" s="7" t="s">
        <v>1890</v>
      </c>
      <c r="CA27" s="4"/>
      <c r="CB27" s="4"/>
      <c r="CC27" s="4"/>
    </row>
    <row r="28" s="6" customFormat="1" ht="77.25" customHeight="1" spans="1:79">
      <c r="A28" s="23">
        <f>SUBTOTAL(3,C$10:C28)</f>
        <v>17</v>
      </c>
      <c r="B28" s="60" t="s">
        <v>199</v>
      </c>
      <c r="C28" s="23" t="s">
        <v>79</v>
      </c>
      <c r="D28" s="88" t="s">
        <v>200</v>
      </c>
      <c r="E28" s="35" t="s">
        <v>81</v>
      </c>
      <c r="F28" s="67">
        <v>120000</v>
      </c>
      <c r="G28" s="67"/>
      <c r="H28" s="83" t="s">
        <v>122</v>
      </c>
      <c r="I28" s="83"/>
      <c r="J28" s="578">
        <v>3750</v>
      </c>
      <c r="K28" s="578">
        <v>9375</v>
      </c>
      <c r="L28" s="578">
        <v>15000</v>
      </c>
      <c r="M28" s="67"/>
      <c r="N28" s="123" t="s">
        <v>196</v>
      </c>
      <c r="O28" s="111"/>
      <c r="P28" s="67"/>
      <c r="Q28" s="730" t="s">
        <v>115</v>
      </c>
      <c r="R28" s="730" t="s">
        <v>115</v>
      </c>
      <c r="S28" s="134"/>
      <c r="T28" s="730" t="s">
        <v>115</v>
      </c>
      <c r="U28" s="134"/>
      <c r="V28" s="134"/>
      <c r="W28" s="134"/>
      <c r="X28" s="90" t="s">
        <v>201</v>
      </c>
      <c r="Y28" s="90" t="s">
        <v>202</v>
      </c>
      <c r="Z28" s="132">
        <v>139</v>
      </c>
      <c r="AA28" s="132">
        <v>139</v>
      </c>
      <c r="AB28" s="132"/>
      <c r="AC28" s="132"/>
      <c r="AD28" s="132"/>
      <c r="AE28" s="132"/>
      <c r="AF28" s="132"/>
      <c r="AG28" s="132"/>
      <c r="AH28" s="132"/>
      <c r="AI28" s="132"/>
      <c r="AJ28" s="132"/>
      <c r="AK28" s="132"/>
      <c r="AL28" s="132">
        <v>20000</v>
      </c>
      <c r="AM28" s="132"/>
      <c r="AN28" s="132"/>
      <c r="AO28" s="132">
        <v>20000</v>
      </c>
      <c r="AP28" s="132"/>
      <c r="AQ28" s="90"/>
      <c r="AR28" s="112" t="s">
        <v>203</v>
      </c>
      <c r="AS28" s="123" t="s">
        <v>204</v>
      </c>
      <c r="AT28" s="67" t="s">
        <v>1913</v>
      </c>
      <c r="AU28" s="35" t="s">
        <v>185</v>
      </c>
      <c r="AV28" s="55"/>
      <c r="AW28" s="157"/>
      <c r="AX28" s="158" t="s">
        <v>186</v>
      </c>
      <c r="AY28" s="158" t="s">
        <v>91</v>
      </c>
      <c r="AZ28" s="158" t="str">
        <f t="shared" si="33"/>
        <v>工业中马园</v>
      </c>
      <c r="BA28" s="158" t="str">
        <f t="shared" si="4"/>
        <v>工业</v>
      </c>
      <c r="BB28" s="167"/>
      <c r="BC28" s="160"/>
      <c r="BD28" s="157"/>
      <c r="BE28" s="157"/>
      <c r="BF28" s="157"/>
      <c r="BG28" s="157"/>
      <c r="BH28" s="157"/>
      <c r="BI28" s="157"/>
      <c r="BJ28" s="157" t="str">
        <f t="shared" si="34"/>
        <v>中马钦州产业园区管委6月</v>
      </c>
      <c r="BK28" s="157" t="s">
        <v>205</v>
      </c>
      <c r="BL28" s="157" t="s">
        <v>93</v>
      </c>
      <c r="BM28" s="201" t="str">
        <f t="shared" si="35"/>
        <v>政府中马钦州产业园区管委</v>
      </c>
      <c r="BN28" s="201" t="str">
        <f t="shared" si="36"/>
        <v>产业中马钦州产业园区管委</v>
      </c>
      <c r="BO28" s="201">
        <f t="shared" si="27"/>
        <v>0</v>
      </c>
      <c r="BP28" s="157"/>
      <c r="BQ28" s="157">
        <f t="shared" si="28"/>
        <v>1</v>
      </c>
      <c r="BR28" s="157">
        <f t="shared" si="29"/>
        <v>0</v>
      </c>
      <c r="BS28" s="157">
        <f t="shared" si="30"/>
        <v>0</v>
      </c>
      <c r="BT28" s="157">
        <f t="shared" si="31"/>
        <v>0</v>
      </c>
      <c r="BU28" s="157">
        <f t="shared" si="32"/>
        <v>1</v>
      </c>
      <c r="BV28" s="157"/>
      <c r="BW28" s="206"/>
      <c r="BX28" s="6" t="s">
        <v>1895</v>
      </c>
      <c r="BZ28" s="7" t="s">
        <v>1890</v>
      </c>
      <c r="CA28" s="229"/>
    </row>
    <row r="29" s="6" customFormat="1" ht="77.25" customHeight="1" spans="1:79">
      <c r="A29" s="23">
        <f>SUBTOTAL(3,C$10:C29)</f>
        <v>18</v>
      </c>
      <c r="B29" s="55" t="s">
        <v>206</v>
      </c>
      <c r="C29" s="35" t="s">
        <v>79</v>
      </c>
      <c r="D29" s="34" t="s">
        <v>207</v>
      </c>
      <c r="E29" s="35" t="s">
        <v>208</v>
      </c>
      <c r="F29" s="67">
        <v>114921</v>
      </c>
      <c r="G29" s="36"/>
      <c r="H29" s="83" t="s">
        <v>209</v>
      </c>
      <c r="I29" s="578"/>
      <c r="J29" s="578"/>
      <c r="K29" s="35">
        <v>800</v>
      </c>
      <c r="L29" s="35">
        <v>2500</v>
      </c>
      <c r="M29" s="36"/>
      <c r="N29" s="34" t="s">
        <v>210</v>
      </c>
      <c r="O29" s="111"/>
      <c r="P29" s="67"/>
      <c r="Q29" s="730" t="s">
        <v>115</v>
      </c>
      <c r="R29" s="730" t="s">
        <v>115</v>
      </c>
      <c r="S29" s="134"/>
      <c r="T29" s="730" t="s">
        <v>115</v>
      </c>
      <c r="U29" s="134"/>
      <c r="V29" s="134"/>
      <c r="W29" s="134"/>
      <c r="X29" s="90"/>
      <c r="Y29" s="90"/>
      <c r="Z29" s="132">
        <v>139</v>
      </c>
      <c r="AA29" s="132">
        <v>139</v>
      </c>
      <c r="AB29" s="132"/>
      <c r="AC29" s="132"/>
      <c r="AD29" s="132"/>
      <c r="AE29" s="132"/>
      <c r="AF29" s="132"/>
      <c r="AG29" s="132"/>
      <c r="AH29" s="132"/>
      <c r="AI29" s="132"/>
      <c r="AJ29" s="132"/>
      <c r="AK29" s="132"/>
      <c r="AL29" s="132">
        <v>20000</v>
      </c>
      <c r="AM29" s="132"/>
      <c r="AN29" s="132"/>
      <c r="AO29" s="132">
        <v>20000</v>
      </c>
      <c r="AP29" s="132"/>
      <c r="AQ29" s="90"/>
      <c r="AR29" s="112" t="s">
        <v>117</v>
      </c>
      <c r="AS29" s="34" t="s">
        <v>211</v>
      </c>
      <c r="AT29" s="35" t="s">
        <v>1914</v>
      </c>
      <c r="AU29" s="35" t="s">
        <v>185</v>
      </c>
      <c r="AV29" s="55"/>
      <c r="AW29" s="157"/>
      <c r="AX29" s="158" t="s">
        <v>186</v>
      </c>
      <c r="AY29" s="158" t="s">
        <v>91</v>
      </c>
      <c r="AZ29" s="158" t="str">
        <f t="shared" si="33"/>
        <v>工业中马园</v>
      </c>
      <c r="BA29" s="158" t="str">
        <f t="shared" si="4"/>
        <v>工业</v>
      </c>
      <c r="BB29" s="167"/>
      <c r="BC29" s="160"/>
      <c r="BD29" s="157"/>
      <c r="BE29" s="157"/>
      <c r="BF29" s="157"/>
      <c r="BG29" s="157"/>
      <c r="BH29" s="157"/>
      <c r="BI29" s="157"/>
      <c r="BJ29" s="157" t="str">
        <f t="shared" si="34"/>
        <v>中马钦州产业园区管委8月</v>
      </c>
      <c r="BK29" s="157" t="s">
        <v>205</v>
      </c>
      <c r="BL29" s="157" t="s">
        <v>93</v>
      </c>
      <c r="BM29" s="201" t="str">
        <f t="shared" si="35"/>
        <v>政府中马钦州产业园区管委</v>
      </c>
      <c r="BN29" s="201" t="str">
        <f t="shared" si="36"/>
        <v>产业中马钦州产业园区管委</v>
      </c>
      <c r="BO29" s="201">
        <f t="shared" si="27"/>
        <v>0</v>
      </c>
      <c r="BP29" s="157"/>
      <c r="BQ29" s="157">
        <f t="shared" si="28"/>
        <v>1</v>
      </c>
      <c r="BR29" s="157">
        <f t="shared" si="29"/>
        <v>0</v>
      </c>
      <c r="BS29" s="157">
        <f t="shared" si="30"/>
        <v>0</v>
      </c>
      <c r="BT29" s="157">
        <f t="shared" si="31"/>
        <v>0</v>
      </c>
      <c r="BU29" s="157">
        <f t="shared" si="32"/>
        <v>1</v>
      </c>
      <c r="BV29" s="157"/>
      <c r="BW29" s="206"/>
      <c r="BX29" s="6" t="s">
        <v>1895</v>
      </c>
      <c r="BZ29" s="7" t="s">
        <v>1890</v>
      </c>
      <c r="CA29" s="229"/>
    </row>
    <row r="30" s="7" customFormat="1" ht="81" customHeight="1" spans="1:78">
      <c r="A30" s="23">
        <f>SUBTOTAL(3,C$10:C30)</f>
        <v>19</v>
      </c>
      <c r="B30" s="759" t="s">
        <v>212</v>
      </c>
      <c r="C30" s="709" t="s">
        <v>79</v>
      </c>
      <c r="D30" s="88" t="s">
        <v>213</v>
      </c>
      <c r="E30" s="35" t="s">
        <v>81</v>
      </c>
      <c r="F30" s="724">
        <v>73800</v>
      </c>
      <c r="G30" s="724"/>
      <c r="H30" s="130" t="s">
        <v>195</v>
      </c>
      <c r="I30" s="760">
        <v>4000</v>
      </c>
      <c r="J30" s="760">
        <v>9000</v>
      </c>
      <c r="K30" s="760">
        <v>14000</v>
      </c>
      <c r="L30" s="724">
        <v>20000</v>
      </c>
      <c r="M30" s="724"/>
      <c r="N30" s="112" t="s">
        <v>196</v>
      </c>
      <c r="O30" s="111"/>
      <c r="P30" s="67"/>
      <c r="Q30" s="730" t="s">
        <v>115</v>
      </c>
      <c r="R30" s="730" t="s">
        <v>115</v>
      </c>
      <c r="S30" s="730" t="s">
        <v>115</v>
      </c>
      <c r="T30" s="730" t="s">
        <v>115</v>
      </c>
      <c r="U30" s="730" t="s">
        <v>115</v>
      </c>
      <c r="V30" s="730" t="s">
        <v>115</v>
      </c>
      <c r="W30" s="730" t="s">
        <v>115</v>
      </c>
      <c r="X30" s="723" t="s">
        <v>214</v>
      </c>
      <c r="Y30" s="90" t="s">
        <v>117</v>
      </c>
      <c r="Z30" s="643">
        <v>120</v>
      </c>
      <c r="AA30" s="643">
        <v>120</v>
      </c>
      <c r="AB30" s="643"/>
      <c r="AC30" s="643"/>
      <c r="AD30" s="643"/>
      <c r="AE30" s="643"/>
      <c r="AF30" s="643"/>
      <c r="AG30" s="643"/>
      <c r="AH30" s="643"/>
      <c r="AI30" s="643"/>
      <c r="AJ30" s="643"/>
      <c r="AK30" s="643"/>
      <c r="AL30" s="643">
        <v>20000</v>
      </c>
      <c r="AM30" s="643"/>
      <c r="AN30" s="643"/>
      <c r="AO30" s="643">
        <v>20000</v>
      </c>
      <c r="AP30" s="643"/>
      <c r="AQ30" s="130"/>
      <c r="AR30" s="638" t="s">
        <v>117</v>
      </c>
      <c r="AS30" s="776" t="s">
        <v>215</v>
      </c>
      <c r="AT30" s="777" t="s">
        <v>1915</v>
      </c>
      <c r="AU30" s="777" t="s">
        <v>185</v>
      </c>
      <c r="AV30" s="93"/>
      <c r="AW30" s="157"/>
      <c r="AX30" s="158" t="s">
        <v>186</v>
      </c>
      <c r="AY30" s="158" t="s">
        <v>91</v>
      </c>
      <c r="AZ30" s="158" t="str">
        <f t="shared" si="33"/>
        <v>工业中马园</v>
      </c>
      <c r="BA30" s="158" t="str">
        <f t="shared" si="4"/>
        <v>工业</v>
      </c>
      <c r="BB30" s="159"/>
      <c r="BC30" s="160"/>
      <c r="BD30" s="157"/>
      <c r="BE30" s="157"/>
      <c r="BF30" s="157"/>
      <c r="BG30" s="157"/>
      <c r="BH30" s="157"/>
      <c r="BI30" s="157"/>
      <c r="BJ30" s="157" t="str">
        <f t="shared" si="34"/>
        <v>中马钦州产业园区管委3月</v>
      </c>
      <c r="BK30" s="157" t="s">
        <v>92</v>
      </c>
      <c r="BL30" s="157" t="s">
        <v>93</v>
      </c>
      <c r="BM30" s="201" t="str">
        <f t="shared" si="35"/>
        <v>企业中马钦州产业园区管委</v>
      </c>
      <c r="BN30" s="201" t="str">
        <f t="shared" si="36"/>
        <v>产业中马钦州产业园区管委</v>
      </c>
      <c r="BO30" s="201">
        <f t="shared" si="27"/>
        <v>0</v>
      </c>
      <c r="BP30" s="157"/>
      <c r="BQ30" s="157">
        <f t="shared" si="28"/>
        <v>1</v>
      </c>
      <c r="BR30" s="157">
        <f t="shared" si="29"/>
        <v>0</v>
      </c>
      <c r="BS30" s="157">
        <f t="shared" si="30"/>
        <v>0</v>
      </c>
      <c r="BT30" s="157">
        <f t="shared" si="31"/>
        <v>0</v>
      </c>
      <c r="BU30" s="157">
        <f t="shared" si="32"/>
        <v>1</v>
      </c>
      <c r="BV30" s="157"/>
      <c r="BW30" s="206"/>
      <c r="BX30" s="7" t="s">
        <v>1895</v>
      </c>
      <c r="BZ30" s="7" t="s">
        <v>1890</v>
      </c>
    </row>
    <row r="31" s="6" customFormat="1" ht="67.5" customHeight="1" spans="1:76">
      <c r="A31" s="23">
        <f>SUBTOTAL(3,C$10:C31)</f>
        <v>20</v>
      </c>
      <c r="B31" s="55" t="s">
        <v>216</v>
      </c>
      <c r="C31" s="35" t="s">
        <v>79</v>
      </c>
      <c r="D31" s="55" t="s">
        <v>217</v>
      </c>
      <c r="E31" s="35" t="s">
        <v>81</v>
      </c>
      <c r="F31" s="36">
        <v>15000</v>
      </c>
      <c r="G31" s="36"/>
      <c r="H31" s="81" t="s">
        <v>195</v>
      </c>
      <c r="I31" s="37">
        <v>500</v>
      </c>
      <c r="J31" s="37">
        <v>1300</v>
      </c>
      <c r="K31" s="37">
        <v>2100</v>
      </c>
      <c r="L31" s="36">
        <v>3000</v>
      </c>
      <c r="M31" s="36"/>
      <c r="N31" s="112" t="s">
        <v>218</v>
      </c>
      <c r="O31" s="36"/>
      <c r="P31" s="118"/>
      <c r="Q31" s="730" t="s">
        <v>115</v>
      </c>
      <c r="R31" s="730" t="s">
        <v>115</v>
      </c>
      <c r="S31" s="730" t="s">
        <v>115</v>
      </c>
      <c r="T31" s="730" t="s">
        <v>115</v>
      </c>
      <c r="U31" s="730" t="s">
        <v>115</v>
      </c>
      <c r="V31" s="769"/>
      <c r="W31" s="769"/>
      <c r="X31" s="90" t="s">
        <v>219</v>
      </c>
      <c r="Y31" s="90" t="s">
        <v>220</v>
      </c>
      <c r="Z31" s="132"/>
      <c r="AA31" s="132"/>
      <c r="AB31" s="132"/>
      <c r="AC31" s="132"/>
      <c r="AD31" s="132"/>
      <c r="AE31" s="132"/>
      <c r="AF31" s="132"/>
      <c r="AG31" s="132"/>
      <c r="AH31" s="132"/>
      <c r="AI31" s="132"/>
      <c r="AJ31" s="132"/>
      <c r="AK31" s="132"/>
      <c r="AL31" s="132">
        <v>3000</v>
      </c>
      <c r="AM31" s="132"/>
      <c r="AN31" s="132"/>
      <c r="AO31" s="132">
        <v>3000</v>
      </c>
      <c r="AP31" s="132"/>
      <c r="AQ31" s="90"/>
      <c r="AR31" s="112" t="s">
        <v>117</v>
      </c>
      <c r="AS31" s="34" t="s">
        <v>221</v>
      </c>
      <c r="AT31" s="35" t="s">
        <v>1916</v>
      </c>
      <c r="AU31" s="35" t="s">
        <v>185</v>
      </c>
      <c r="AV31" s="55"/>
      <c r="AW31" s="157"/>
      <c r="AX31" s="158" t="s">
        <v>186</v>
      </c>
      <c r="AY31" s="158" t="s">
        <v>91</v>
      </c>
      <c r="AZ31" s="158" t="str">
        <f t="shared" si="33"/>
        <v>工业中马园</v>
      </c>
      <c r="BA31" s="158" t="str">
        <f t="shared" si="4"/>
        <v>工业</v>
      </c>
      <c r="BB31" s="169"/>
      <c r="BC31" s="165"/>
      <c r="BD31" s="165"/>
      <c r="BE31" s="165"/>
      <c r="BF31" s="169"/>
      <c r="BG31" s="169"/>
      <c r="BH31" s="169"/>
      <c r="BI31" s="183"/>
      <c r="BJ31" s="157" t="str">
        <f t="shared" si="34"/>
        <v>中马钦州产业园区管委3月</v>
      </c>
      <c r="BK31" s="157" t="s">
        <v>92</v>
      </c>
      <c r="BL31" s="157" t="s">
        <v>93</v>
      </c>
      <c r="BM31" s="201" t="str">
        <f t="shared" si="35"/>
        <v>企业中马钦州产业园区管委</v>
      </c>
      <c r="BN31" s="201" t="str">
        <f t="shared" si="36"/>
        <v>产业中马钦州产业园区管委</v>
      </c>
      <c r="BO31" s="201">
        <f t="shared" si="27"/>
        <v>0</v>
      </c>
      <c r="BP31" s="157"/>
      <c r="BQ31" s="157">
        <f t="shared" si="28"/>
        <v>0</v>
      </c>
      <c r="BR31" s="157">
        <f t="shared" si="29"/>
        <v>0</v>
      </c>
      <c r="BS31" s="157">
        <f t="shared" si="30"/>
        <v>0</v>
      </c>
      <c r="BT31" s="157">
        <f t="shared" si="31"/>
        <v>0</v>
      </c>
      <c r="BU31" s="157">
        <f t="shared" si="32"/>
        <v>1</v>
      </c>
      <c r="BV31" s="157"/>
      <c r="BW31" s="206"/>
      <c r="BX31" s="6" t="s">
        <v>1917</v>
      </c>
    </row>
    <row r="32" ht="72.75" customHeight="1" spans="1:81">
      <c r="A32" s="23">
        <f>SUBTOTAL(3,C$10:C32)</f>
        <v>21</v>
      </c>
      <c r="B32" s="55" t="s">
        <v>222</v>
      </c>
      <c r="C32" s="35" t="s">
        <v>79</v>
      </c>
      <c r="D32" s="55" t="s">
        <v>223</v>
      </c>
      <c r="E32" s="35" t="s">
        <v>81</v>
      </c>
      <c r="F32" s="36">
        <v>13600</v>
      </c>
      <c r="G32" s="36"/>
      <c r="H32" s="83" t="s">
        <v>122</v>
      </c>
      <c r="I32" s="578"/>
      <c r="J32" s="578">
        <v>1800</v>
      </c>
      <c r="K32" s="578">
        <v>4100</v>
      </c>
      <c r="L32" s="36">
        <v>5000</v>
      </c>
      <c r="M32" s="36"/>
      <c r="N32" s="112" t="s">
        <v>189</v>
      </c>
      <c r="O32" s="50"/>
      <c r="P32" s="76"/>
      <c r="Q32" s="730" t="s">
        <v>115</v>
      </c>
      <c r="R32" s="730" t="s">
        <v>115</v>
      </c>
      <c r="S32" s="730" t="s">
        <v>115</v>
      </c>
      <c r="T32" s="132"/>
      <c r="U32" s="132"/>
      <c r="V32" s="730" t="s">
        <v>115</v>
      </c>
      <c r="W32" s="132"/>
      <c r="X32" s="90" t="s">
        <v>224</v>
      </c>
      <c r="Y32" s="90" t="s">
        <v>117</v>
      </c>
      <c r="Z32" s="132">
        <v>30</v>
      </c>
      <c r="AA32" s="132">
        <v>30</v>
      </c>
      <c r="AB32" s="132"/>
      <c r="AC32" s="132"/>
      <c r="AD32" s="132"/>
      <c r="AE32" s="132"/>
      <c r="AF32" s="132"/>
      <c r="AG32" s="132"/>
      <c r="AH32" s="132"/>
      <c r="AI32" s="132"/>
      <c r="AJ32" s="132"/>
      <c r="AK32" s="132"/>
      <c r="AL32" s="132">
        <v>13600</v>
      </c>
      <c r="AM32" s="132"/>
      <c r="AN32" s="132"/>
      <c r="AO32" s="132">
        <v>6000</v>
      </c>
      <c r="AP32" s="132">
        <v>7600</v>
      </c>
      <c r="AQ32" s="90"/>
      <c r="AR32" s="112" t="s">
        <v>117</v>
      </c>
      <c r="AS32" s="34" t="s">
        <v>225</v>
      </c>
      <c r="AT32" s="35" t="s">
        <v>1918</v>
      </c>
      <c r="AU32" s="35" t="s">
        <v>185</v>
      </c>
      <c r="AV32" s="93"/>
      <c r="AW32" s="157"/>
      <c r="AX32" s="158" t="s">
        <v>186</v>
      </c>
      <c r="AY32" s="158" t="s">
        <v>91</v>
      </c>
      <c r="AZ32" s="158" t="str">
        <f t="shared" si="33"/>
        <v>工业中马园</v>
      </c>
      <c r="BA32" s="158" t="str">
        <f t="shared" si="4"/>
        <v>工业</v>
      </c>
      <c r="BB32" s="159"/>
      <c r="BC32" s="160"/>
      <c r="BD32" s="157"/>
      <c r="BE32" s="157"/>
      <c r="BF32" s="157"/>
      <c r="BG32" s="157"/>
      <c r="BH32" s="157"/>
      <c r="BI32" s="157"/>
      <c r="BJ32" s="157" t="str">
        <f t="shared" si="34"/>
        <v>中马钦州产业园区管委6月</v>
      </c>
      <c r="BK32" s="157" t="s">
        <v>92</v>
      </c>
      <c r="BL32" s="157" t="s">
        <v>93</v>
      </c>
      <c r="BM32" s="201" t="str">
        <f t="shared" si="35"/>
        <v>企业中马钦州产业园区管委</v>
      </c>
      <c r="BN32" s="201" t="str">
        <f t="shared" si="36"/>
        <v>产业中马钦州产业园区管委</v>
      </c>
      <c r="BO32" s="201">
        <f t="shared" si="27"/>
        <v>0</v>
      </c>
      <c r="BP32" s="157"/>
      <c r="BQ32" s="157">
        <f t="shared" si="28"/>
        <v>1</v>
      </c>
      <c r="BR32" s="157">
        <f t="shared" si="29"/>
        <v>0</v>
      </c>
      <c r="BS32" s="157">
        <f t="shared" si="30"/>
        <v>0</v>
      </c>
      <c r="BT32" s="157">
        <f t="shared" si="31"/>
        <v>0</v>
      </c>
      <c r="BU32" s="157">
        <f t="shared" si="32"/>
        <v>1</v>
      </c>
      <c r="BV32" s="157"/>
      <c r="BW32" s="206"/>
      <c r="BY32" s="4"/>
      <c r="BZ32" s="4"/>
      <c r="CA32" s="4"/>
      <c r="CB32" s="4"/>
      <c r="CC32" s="4"/>
    </row>
    <row r="33" ht="69" customHeight="1" spans="1:81">
      <c r="A33" s="23">
        <f>SUBTOTAL(3,C$10:C33)</f>
        <v>22</v>
      </c>
      <c r="B33" s="55" t="s">
        <v>226</v>
      </c>
      <c r="C33" s="35" t="s">
        <v>79</v>
      </c>
      <c r="D33" s="55" t="s">
        <v>227</v>
      </c>
      <c r="E33" s="35" t="s">
        <v>81</v>
      </c>
      <c r="F33" s="36">
        <v>10000</v>
      </c>
      <c r="G33" s="36"/>
      <c r="H33" s="156" t="s">
        <v>195</v>
      </c>
      <c r="I33" s="156">
        <v>200</v>
      </c>
      <c r="J33" s="156">
        <v>1100</v>
      </c>
      <c r="K33" s="156">
        <v>2000</v>
      </c>
      <c r="L33" s="36">
        <v>3000</v>
      </c>
      <c r="M33" s="36"/>
      <c r="N33" s="112" t="s">
        <v>228</v>
      </c>
      <c r="O33" s="50"/>
      <c r="P33" s="76"/>
      <c r="Q33" s="134"/>
      <c r="R33" s="134"/>
      <c r="S33" s="134"/>
      <c r="T33" s="134"/>
      <c r="U33" s="134"/>
      <c r="V33" s="134"/>
      <c r="W33" s="134"/>
      <c r="X33" s="90"/>
      <c r="Y33" s="90"/>
      <c r="Z33" s="132"/>
      <c r="AA33" s="132"/>
      <c r="AB33" s="132"/>
      <c r="AC33" s="132"/>
      <c r="AD33" s="132"/>
      <c r="AE33" s="132"/>
      <c r="AF33" s="132"/>
      <c r="AG33" s="132"/>
      <c r="AH33" s="132"/>
      <c r="AI33" s="132"/>
      <c r="AJ33" s="132"/>
      <c r="AK33" s="132"/>
      <c r="AL33" s="132"/>
      <c r="AM33" s="132"/>
      <c r="AN33" s="132"/>
      <c r="AO33" s="132"/>
      <c r="AP33" s="132"/>
      <c r="AQ33" s="90"/>
      <c r="AR33" s="112" t="s">
        <v>117</v>
      </c>
      <c r="AS33" s="34" t="s">
        <v>229</v>
      </c>
      <c r="AT33" s="35" t="s">
        <v>1919</v>
      </c>
      <c r="AU33" s="35" t="s">
        <v>185</v>
      </c>
      <c r="AV33" s="93"/>
      <c r="AW33" s="157"/>
      <c r="AX33" s="158" t="s">
        <v>186</v>
      </c>
      <c r="AY33" s="158" t="s">
        <v>91</v>
      </c>
      <c r="AZ33" s="158" t="str">
        <f t="shared" si="33"/>
        <v>工业中马园</v>
      </c>
      <c r="BA33" s="158" t="str">
        <f t="shared" si="4"/>
        <v>工业</v>
      </c>
      <c r="BB33" s="159"/>
      <c r="BC33" s="160"/>
      <c r="BD33" s="157"/>
      <c r="BE33" s="157"/>
      <c r="BF33" s="157"/>
      <c r="BG33" s="157"/>
      <c r="BH33" s="157"/>
      <c r="BI33" s="157"/>
      <c r="BJ33" s="157" t="str">
        <f t="shared" si="34"/>
        <v>中马钦州产业园区管委3月</v>
      </c>
      <c r="BK33" s="157" t="s">
        <v>92</v>
      </c>
      <c r="BL33" s="157" t="s">
        <v>93</v>
      </c>
      <c r="BM33" s="201" t="str">
        <f t="shared" si="35"/>
        <v>企业中马钦州产业园区管委</v>
      </c>
      <c r="BN33" s="201" t="str">
        <f t="shared" si="36"/>
        <v>产业中马钦州产业园区管委</v>
      </c>
      <c r="BO33" s="201">
        <f t="shared" si="27"/>
        <v>0</v>
      </c>
      <c r="BP33" s="157"/>
      <c r="BQ33" s="157">
        <f t="shared" si="28"/>
        <v>0</v>
      </c>
      <c r="BR33" s="157">
        <f t="shared" si="29"/>
        <v>0</v>
      </c>
      <c r="BS33" s="157">
        <f t="shared" si="30"/>
        <v>0</v>
      </c>
      <c r="BT33" s="157">
        <f t="shared" si="31"/>
        <v>0</v>
      </c>
      <c r="BU33" s="157">
        <f t="shared" si="32"/>
        <v>0</v>
      </c>
      <c r="BV33" s="157"/>
      <c r="BW33" s="206"/>
      <c r="BY33" s="4"/>
      <c r="BZ33" s="4"/>
      <c r="CA33" s="4"/>
      <c r="CB33" s="4"/>
      <c r="CC33" s="4"/>
    </row>
    <row r="34" ht="69" customHeight="1" spans="1:81">
      <c r="A34" s="23">
        <f>SUBTOTAL(3,C$10:C34)</f>
        <v>23</v>
      </c>
      <c r="B34" s="55" t="s">
        <v>230</v>
      </c>
      <c r="C34" s="35" t="s">
        <v>79</v>
      </c>
      <c r="D34" s="55" t="s">
        <v>231</v>
      </c>
      <c r="E34" s="35" t="s">
        <v>81</v>
      </c>
      <c r="F34" s="36">
        <v>5000</v>
      </c>
      <c r="G34" s="36"/>
      <c r="H34" s="83" t="s">
        <v>122</v>
      </c>
      <c r="I34" s="578">
        <v>200</v>
      </c>
      <c r="J34" s="578">
        <v>800</v>
      </c>
      <c r="K34" s="578">
        <v>1400</v>
      </c>
      <c r="L34" s="36">
        <v>2000</v>
      </c>
      <c r="M34" s="36"/>
      <c r="N34" s="112" t="s">
        <v>228</v>
      </c>
      <c r="O34" s="50"/>
      <c r="P34" s="76"/>
      <c r="Q34" s="134"/>
      <c r="R34" s="134"/>
      <c r="S34" s="134"/>
      <c r="T34" s="134"/>
      <c r="U34" s="134"/>
      <c r="V34" s="134"/>
      <c r="W34" s="134"/>
      <c r="X34" s="90" t="s">
        <v>232</v>
      </c>
      <c r="Y34" s="90" t="s">
        <v>117</v>
      </c>
      <c r="Z34" s="132"/>
      <c r="AA34" s="132"/>
      <c r="AB34" s="132"/>
      <c r="AC34" s="132"/>
      <c r="AD34" s="132"/>
      <c r="AE34" s="132"/>
      <c r="AF34" s="132"/>
      <c r="AG34" s="132"/>
      <c r="AH34" s="132"/>
      <c r="AI34" s="132"/>
      <c r="AJ34" s="132"/>
      <c r="AK34" s="132"/>
      <c r="AL34" s="132"/>
      <c r="AM34" s="132"/>
      <c r="AN34" s="132"/>
      <c r="AO34" s="132"/>
      <c r="AP34" s="132"/>
      <c r="AQ34" s="90"/>
      <c r="AR34" s="112" t="s">
        <v>117</v>
      </c>
      <c r="AS34" s="34" t="s">
        <v>233</v>
      </c>
      <c r="AT34" s="35" t="s">
        <v>1920</v>
      </c>
      <c r="AU34" s="35" t="s">
        <v>185</v>
      </c>
      <c r="AV34" s="93"/>
      <c r="AW34" s="157"/>
      <c r="AX34" s="158" t="s">
        <v>186</v>
      </c>
      <c r="AY34" s="158" t="s">
        <v>91</v>
      </c>
      <c r="AZ34" s="158" t="str">
        <f t="shared" si="33"/>
        <v>工业中马园</v>
      </c>
      <c r="BA34" s="158" t="str">
        <f t="shared" si="4"/>
        <v>工业</v>
      </c>
      <c r="BB34" s="159"/>
      <c r="BC34" s="160"/>
      <c r="BD34" s="157"/>
      <c r="BE34" s="157"/>
      <c r="BF34" s="157"/>
      <c r="BG34" s="157"/>
      <c r="BH34" s="157"/>
      <c r="BI34" s="157"/>
      <c r="BJ34" s="157" t="str">
        <f t="shared" si="34"/>
        <v>中马钦州产业园区管委6月</v>
      </c>
      <c r="BK34" s="157" t="s">
        <v>92</v>
      </c>
      <c r="BL34" s="157" t="s">
        <v>93</v>
      </c>
      <c r="BM34" s="201" t="str">
        <f t="shared" si="35"/>
        <v>企业中马钦州产业园区管委</v>
      </c>
      <c r="BN34" s="201" t="str">
        <f t="shared" si="36"/>
        <v>产业中马钦州产业园区管委</v>
      </c>
      <c r="BO34" s="201">
        <f t="shared" si="27"/>
        <v>0</v>
      </c>
      <c r="BP34" s="157"/>
      <c r="BQ34" s="157">
        <f t="shared" si="28"/>
        <v>0</v>
      </c>
      <c r="BR34" s="157">
        <f t="shared" si="29"/>
        <v>0</v>
      </c>
      <c r="BS34" s="157">
        <f t="shared" si="30"/>
        <v>0</v>
      </c>
      <c r="BT34" s="157">
        <f t="shared" si="31"/>
        <v>0</v>
      </c>
      <c r="BU34" s="157">
        <f t="shared" si="32"/>
        <v>0</v>
      </c>
      <c r="BV34" s="157"/>
      <c r="BW34" s="206"/>
      <c r="BY34" s="4"/>
      <c r="BZ34" s="4"/>
      <c r="CA34" s="4"/>
      <c r="CB34" s="4"/>
      <c r="CC34" s="4"/>
    </row>
    <row r="35" s="9" customFormat="1" ht="17.25" customHeight="1" spans="1:74">
      <c r="A35" s="23"/>
      <c r="B35" s="557" t="str">
        <f>"高新区（"&amp;SUBTOTAL(3,C36:C39)&amp;"个）"</f>
        <v>高新区（4个）</v>
      </c>
      <c r="C35" s="551"/>
      <c r="D35" s="554"/>
      <c r="E35" s="551"/>
      <c r="F35" s="134">
        <f t="shared" ref="F35:M35" si="37">SUBTOTAL(9,F36:F39)</f>
        <v>222020</v>
      </c>
      <c r="G35" s="134"/>
      <c r="H35" s="134"/>
      <c r="I35" s="134">
        <f t="shared" si="37"/>
        <v>5700</v>
      </c>
      <c r="J35" s="134">
        <f t="shared" si="37"/>
        <v>33000</v>
      </c>
      <c r="K35" s="134">
        <f t="shared" si="37"/>
        <v>52500</v>
      </c>
      <c r="L35" s="134">
        <f t="shared" si="37"/>
        <v>72000</v>
      </c>
      <c r="M35" s="134">
        <f t="shared" si="37"/>
        <v>0</v>
      </c>
      <c r="N35" s="591"/>
      <c r="O35" s="133"/>
      <c r="P35" s="134"/>
      <c r="Q35" s="134"/>
      <c r="R35" s="134"/>
      <c r="S35" s="134"/>
      <c r="T35" s="134"/>
      <c r="U35" s="134"/>
      <c r="V35" s="134"/>
      <c r="W35" s="134"/>
      <c r="X35" s="90"/>
      <c r="Y35" s="90"/>
      <c r="Z35" s="132"/>
      <c r="AA35" s="132"/>
      <c r="AB35" s="132"/>
      <c r="AC35" s="132"/>
      <c r="AD35" s="132"/>
      <c r="AE35" s="132"/>
      <c r="AF35" s="132"/>
      <c r="AG35" s="132"/>
      <c r="AH35" s="132"/>
      <c r="AI35" s="132"/>
      <c r="AJ35" s="132"/>
      <c r="AK35" s="132"/>
      <c r="AL35" s="132"/>
      <c r="AM35" s="132"/>
      <c r="AN35" s="132"/>
      <c r="AO35" s="132"/>
      <c r="AP35" s="132"/>
      <c r="AQ35" s="90"/>
      <c r="AR35" s="112"/>
      <c r="AS35" s="591"/>
      <c r="AT35" s="134"/>
      <c r="AU35" s="134"/>
      <c r="AV35" s="93"/>
      <c r="AW35" s="165"/>
      <c r="AX35" s="158"/>
      <c r="AY35" s="158"/>
      <c r="AZ35" s="158"/>
      <c r="BA35" s="158"/>
      <c r="BB35" s="169"/>
      <c r="BC35" s="165"/>
      <c r="BD35" s="165"/>
      <c r="BE35" s="165"/>
      <c r="BF35" s="169"/>
      <c r="BG35" s="169"/>
      <c r="BH35" s="169"/>
      <c r="BI35" s="183"/>
      <c r="BJ35" s="165"/>
      <c r="BK35" s="157"/>
      <c r="BL35" s="157"/>
      <c r="BN35" s="201"/>
      <c r="BO35" s="7"/>
      <c r="BP35" s="157"/>
      <c r="BQ35" s="157"/>
      <c r="BR35" s="157"/>
      <c r="BS35" s="157"/>
      <c r="BT35" s="157"/>
      <c r="BU35" s="157"/>
      <c r="BV35" s="183"/>
    </row>
    <row r="36" s="6" customFormat="1" ht="60.75" customHeight="1" spans="1:79">
      <c r="A36" s="23">
        <f>SUBTOTAL(3,C$10:C36)</f>
        <v>24</v>
      </c>
      <c r="B36" s="55" t="s">
        <v>234</v>
      </c>
      <c r="C36" s="67" t="s">
        <v>79</v>
      </c>
      <c r="D36" s="60" t="s">
        <v>235</v>
      </c>
      <c r="E36" s="35" t="s">
        <v>112</v>
      </c>
      <c r="F36" s="35">
        <v>100000</v>
      </c>
      <c r="G36" s="35"/>
      <c r="H36" s="83" t="s">
        <v>177</v>
      </c>
      <c r="I36" s="578">
        <v>500</v>
      </c>
      <c r="J36" s="578">
        <v>16000</v>
      </c>
      <c r="K36" s="578">
        <v>25000</v>
      </c>
      <c r="L36" s="67">
        <v>35000</v>
      </c>
      <c r="M36" s="67"/>
      <c r="N36" s="123" t="s">
        <v>236</v>
      </c>
      <c r="O36" s="56"/>
      <c r="P36" s="127"/>
      <c r="Q36" s="115"/>
      <c r="R36" s="115"/>
      <c r="S36" s="115"/>
      <c r="T36" s="115"/>
      <c r="U36" s="115"/>
      <c r="V36" s="115"/>
      <c r="W36" s="115"/>
      <c r="X36" s="90" t="s">
        <v>237</v>
      </c>
      <c r="Y36" s="90" t="s">
        <v>117</v>
      </c>
      <c r="Z36" s="132"/>
      <c r="AA36" s="132"/>
      <c r="AB36" s="132"/>
      <c r="AC36" s="132"/>
      <c r="AD36" s="132"/>
      <c r="AE36" s="132"/>
      <c r="AF36" s="132"/>
      <c r="AG36" s="132"/>
      <c r="AH36" s="132"/>
      <c r="AI36" s="132"/>
      <c r="AJ36" s="132"/>
      <c r="AK36" s="132"/>
      <c r="AL36" s="132"/>
      <c r="AM36" s="132"/>
      <c r="AN36" s="132"/>
      <c r="AO36" s="132"/>
      <c r="AP36" s="132"/>
      <c r="AQ36" s="90"/>
      <c r="AR36" s="112" t="s">
        <v>238</v>
      </c>
      <c r="AS36" s="34" t="s">
        <v>239</v>
      </c>
      <c r="AT36" s="129" t="s">
        <v>1921</v>
      </c>
      <c r="AU36" s="35" t="s">
        <v>240</v>
      </c>
      <c r="AV36" s="93"/>
      <c r="AW36" s="157"/>
      <c r="AX36" s="158" t="s">
        <v>241</v>
      </c>
      <c r="AY36" s="158" t="s">
        <v>91</v>
      </c>
      <c r="AZ36" s="158" t="str">
        <f t="shared" ref="AZ36:AZ39" si="38">AY36&amp;AX36</f>
        <v>工业高新区</v>
      </c>
      <c r="BA36" s="158" t="str">
        <f t="shared" si="4"/>
        <v>工业</v>
      </c>
      <c r="BB36" s="167"/>
      <c r="BC36" s="160"/>
      <c r="BD36" s="157"/>
      <c r="BE36" s="157"/>
      <c r="BF36" s="157"/>
      <c r="BG36" s="157"/>
      <c r="BH36" s="157"/>
      <c r="BI36" s="157"/>
      <c r="BJ36" s="157" t="str">
        <f t="shared" ref="BJ36:BJ39" si="39">AU36&amp;H36</f>
        <v>钦州高新区管委4月</v>
      </c>
      <c r="BK36" s="157" t="s">
        <v>92</v>
      </c>
      <c r="BL36" s="157" t="s">
        <v>93</v>
      </c>
      <c r="BM36" s="201" t="str">
        <f t="shared" ref="BM36:BM39" si="40">BK36&amp;AU36</f>
        <v>企业钦州高新区管委</v>
      </c>
      <c r="BN36" s="201" t="str">
        <f t="shared" ref="BN36:BN39" si="41">BL36&amp;AU36</f>
        <v>产业钦州高新区管委</v>
      </c>
      <c r="BO36" s="201">
        <f t="shared" ref="BO36:BO39" si="42">IF(O36&gt;0,1,0)</f>
        <v>0</v>
      </c>
      <c r="BP36" s="157"/>
      <c r="BQ36" s="157">
        <f t="shared" ref="BQ36:BQ39" si="43">IF(Z36&gt;0,1,0)</f>
        <v>0</v>
      </c>
      <c r="BR36" s="157">
        <f t="shared" ref="BR36:BR39" si="44">IF(AF36&gt;0,1,0)</f>
        <v>0</v>
      </c>
      <c r="BS36" s="157">
        <f t="shared" ref="BS36:BS39" si="45">IF(AC36&gt;0,1,0)</f>
        <v>0</v>
      </c>
      <c r="BT36" s="157">
        <f t="shared" ref="BT36:BT39" si="46">IF(AI36&gt;0,1,0)</f>
        <v>0</v>
      </c>
      <c r="BU36" s="157">
        <f t="shared" ref="BU36:BU39" si="47">IF(AL36&gt;0,1,0)</f>
        <v>0</v>
      </c>
      <c r="BV36" s="157"/>
      <c r="BW36" s="206"/>
      <c r="BZ36" s="228"/>
      <c r="CA36" s="229"/>
    </row>
    <row r="37" s="6" customFormat="1" ht="60.75" customHeight="1" spans="1:79">
      <c r="A37" s="23">
        <f>SUBTOTAL(3,C$10:C37)</f>
        <v>25</v>
      </c>
      <c r="B37" s="60" t="s">
        <v>242</v>
      </c>
      <c r="C37" s="67" t="s">
        <v>79</v>
      </c>
      <c r="D37" s="88" t="s">
        <v>243</v>
      </c>
      <c r="E37" s="23" t="s">
        <v>81</v>
      </c>
      <c r="F37" s="67">
        <v>86000</v>
      </c>
      <c r="G37" s="67"/>
      <c r="H37" s="81" t="s">
        <v>244</v>
      </c>
      <c r="I37" s="37">
        <v>2000</v>
      </c>
      <c r="J37" s="37">
        <v>10000</v>
      </c>
      <c r="K37" s="37">
        <v>15000</v>
      </c>
      <c r="L37" s="67">
        <v>20000</v>
      </c>
      <c r="M37" s="67"/>
      <c r="N37" s="123" t="s">
        <v>1922</v>
      </c>
      <c r="O37" s="56"/>
      <c r="P37" s="127"/>
      <c r="Q37" s="115" t="s">
        <v>115</v>
      </c>
      <c r="R37" s="115"/>
      <c r="S37" s="115"/>
      <c r="T37" s="115"/>
      <c r="U37" s="115"/>
      <c r="V37" s="115"/>
      <c r="W37" s="115"/>
      <c r="X37" s="90" t="s">
        <v>246</v>
      </c>
      <c r="Y37" s="90" t="s">
        <v>117</v>
      </c>
      <c r="Z37" s="132"/>
      <c r="AA37" s="132"/>
      <c r="AB37" s="132"/>
      <c r="AC37" s="132"/>
      <c r="AD37" s="132"/>
      <c r="AE37" s="132"/>
      <c r="AF37" s="132"/>
      <c r="AG37" s="132"/>
      <c r="AH37" s="132"/>
      <c r="AI37" s="132"/>
      <c r="AJ37" s="132"/>
      <c r="AK37" s="132"/>
      <c r="AL37" s="132">
        <v>20000</v>
      </c>
      <c r="AM37" s="132"/>
      <c r="AN37" s="132"/>
      <c r="AO37" s="132">
        <v>5800</v>
      </c>
      <c r="AP37" s="132">
        <v>13200</v>
      </c>
      <c r="AQ37" s="90"/>
      <c r="AR37" s="112" t="s">
        <v>247</v>
      </c>
      <c r="AS37" s="123" t="s">
        <v>248</v>
      </c>
      <c r="AT37" s="67" t="s">
        <v>1923</v>
      </c>
      <c r="AU37" s="35" t="s">
        <v>240</v>
      </c>
      <c r="AV37" s="93"/>
      <c r="AW37" s="157"/>
      <c r="AX37" s="158" t="s">
        <v>241</v>
      </c>
      <c r="AY37" s="158" t="s">
        <v>91</v>
      </c>
      <c r="AZ37" s="158" t="str">
        <f t="shared" si="38"/>
        <v>工业高新区</v>
      </c>
      <c r="BA37" s="158" t="str">
        <f t="shared" si="4"/>
        <v>工业</v>
      </c>
      <c r="BB37" s="167"/>
      <c r="BC37" s="160"/>
      <c r="BD37" s="157"/>
      <c r="BE37" s="157"/>
      <c r="BF37" s="157"/>
      <c r="BG37" s="157"/>
      <c r="BH37" s="157"/>
      <c r="BI37" s="157"/>
      <c r="BJ37" s="157" t="str">
        <f t="shared" si="39"/>
        <v>钦州高新区管委1月</v>
      </c>
      <c r="BK37" s="157" t="s">
        <v>92</v>
      </c>
      <c r="BL37" s="157" t="s">
        <v>93</v>
      </c>
      <c r="BM37" s="201" t="str">
        <f t="shared" si="40"/>
        <v>企业钦州高新区管委</v>
      </c>
      <c r="BN37" s="201" t="str">
        <f t="shared" si="41"/>
        <v>产业钦州高新区管委</v>
      </c>
      <c r="BO37" s="201">
        <f t="shared" si="42"/>
        <v>0</v>
      </c>
      <c r="BP37" s="157"/>
      <c r="BQ37" s="157">
        <f t="shared" si="43"/>
        <v>0</v>
      </c>
      <c r="BR37" s="157">
        <f t="shared" si="44"/>
        <v>0</v>
      </c>
      <c r="BS37" s="157">
        <f t="shared" si="45"/>
        <v>0</v>
      </c>
      <c r="BT37" s="157">
        <f t="shared" si="46"/>
        <v>0</v>
      </c>
      <c r="BU37" s="157">
        <f t="shared" si="47"/>
        <v>1</v>
      </c>
      <c r="BV37" s="157"/>
      <c r="BW37" s="206"/>
      <c r="BZ37" s="228"/>
      <c r="CA37" s="229"/>
    </row>
    <row r="38" s="6" customFormat="1" ht="72.75" customHeight="1" spans="1:79">
      <c r="A38" s="23">
        <f>SUBTOTAL(3,C$10:C38)</f>
        <v>26</v>
      </c>
      <c r="B38" s="54" t="s">
        <v>250</v>
      </c>
      <c r="C38" s="67" t="s">
        <v>79</v>
      </c>
      <c r="D38" s="54" t="s">
        <v>251</v>
      </c>
      <c r="E38" s="67" t="s">
        <v>81</v>
      </c>
      <c r="F38" s="67">
        <v>29620</v>
      </c>
      <c r="G38" s="67"/>
      <c r="H38" s="81" t="s">
        <v>195</v>
      </c>
      <c r="I38" s="37">
        <v>3000</v>
      </c>
      <c r="J38" s="37">
        <v>6000</v>
      </c>
      <c r="K38" s="37">
        <v>11000</v>
      </c>
      <c r="L38" s="67">
        <v>15000</v>
      </c>
      <c r="M38" s="67"/>
      <c r="N38" s="123" t="s">
        <v>252</v>
      </c>
      <c r="O38" s="56"/>
      <c r="P38" s="127"/>
      <c r="Q38" s="115" t="s">
        <v>115</v>
      </c>
      <c r="R38" s="115" t="s">
        <v>115</v>
      </c>
      <c r="S38" s="115" t="s">
        <v>115</v>
      </c>
      <c r="T38" s="115" t="s">
        <v>115</v>
      </c>
      <c r="U38" s="115"/>
      <c r="V38" s="115"/>
      <c r="W38" s="115"/>
      <c r="X38" s="54" t="s">
        <v>253</v>
      </c>
      <c r="Y38" s="90" t="s">
        <v>117</v>
      </c>
      <c r="Z38" s="132"/>
      <c r="AA38" s="132"/>
      <c r="AB38" s="132"/>
      <c r="AC38" s="132"/>
      <c r="AD38" s="132"/>
      <c r="AE38" s="132"/>
      <c r="AF38" s="132"/>
      <c r="AG38" s="132"/>
      <c r="AH38" s="132"/>
      <c r="AI38" s="132"/>
      <c r="AJ38" s="132"/>
      <c r="AK38" s="132"/>
      <c r="AL38" s="132">
        <v>2000</v>
      </c>
      <c r="AM38" s="132"/>
      <c r="AN38" s="132"/>
      <c r="AO38" s="132">
        <v>2000</v>
      </c>
      <c r="AP38" s="132"/>
      <c r="AQ38" s="90"/>
      <c r="AR38" s="112" t="s">
        <v>254</v>
      </c>
      <c r="AS38" s="123" t="s">
        <v>255</v>
      </c>
      <c r="AT38" s="67" t="s">
        <v>1924</v>
      </c>
      <c r="AU38" s="67" t="s">
        <v>240</v>
      </c>
      <c r="AV38" s="93"/>
      <c r="AW38" s="157"/>
      <c r="AX38" s="158" t="s">
        <v>241</v>
      </c>
      <c r="AY38" s="158" t="s">
        <v>91</v>
      </c>
      <c r="AZ38" s="158" t="str">
        <f t="shared" si="38"/>
        <v>工业高新区</v>
      </c>
      <c r="BA38" s="158" t="str">
        <f t="shared" si="4"/>
        <v>工业</v>
      </c>
      <c r="BB38" s="167"/>
      <c r="BC38" s="160"/>
      <c r="BD38" s="157"/>
      <c r="BE38" s="157"/>
      <c r="BF38" s="157"/>
      <c r="BG38" s="157"/>
      <c r="BH38" s="157"/>
      <c r="BI38" s="157"/>
      <c r="BJ38" s="157" t="str">
        <f t="shared" si="39"/>
        <v>钦州高新区管委3月</v>
      </c>
      <c r="BK38" s="157" t="s">
        <v>92</v>
      </c>
      <c r="BL38" s="157" t="s">
        <v>93</v>
      </c>
      <c r="BM38" s="201" t="str">
        <f t="shared" si="40"/>
        <v>企业钦州高新区管委</v>
      </c>
      <c r="BN38" s="201" t="str">
        <f t="shared" si="41"/>
        <v>产业钦州高新区管委</v>
      </c>
      <c r="BO38" s="201">
        <f t="shared" si="42"/>
        <v>0</v>
      </c>
      <c r="BP38" s="157"/>
      <c r="BQ38" s="157">
        <f t="shared" si="43"/>
        <v>0</v>
      </c>
      <c r="BR38" s="157">
        <f t="shared" si="44"/>
        <v>0</v>
      </c>
      <c r="BS38" s="157">
        <f t="shared" si="45"/>
        <v>0</v>
      </c>
      <c r="BT38" s="157">
        <f t="shared" si="46"/>
        <v>0</v>
      </c>
      <c r="BU38" s="157">
        <f t="shared" si="47"/>
        <v>1</v>
      </c>
      <c r="BV38" s="157"/>
      <c r="BW38" s="206"/>
      <c r="BZ38" s="228"/>
      <c r="CA38" s="229"/>
    </row>
    <row r="39" s="6" customFormat="1" ht="72.75" customHeight="1" spans="1:79">
      <c r="A39" s="23">
        <f>SUBTOTAL(3,C$10:C39)</f>
        <v>27</v>
      </c>
      <c r="B39" s="60" t="s">
        <v>256</v>
      </c>
      <c r="C39" s="67" t="s">
        <v>79</v>
      </c>
      <c r="D39" s="88" t="s">
        <v>257</v>
      </c>
      <c r="E39" s="23" t="s">
        <v>81</v>
      </c>
      <c r="F39" s="67">
        <v>6400</v>
      </c>
      <c r="G39" s="67"/>
      <c r="H39" s="81" t="s">
        <v>195</v>
      </c>
      <c r="I39" s="37">
        <v>200</v>
      </c>
      <c r="J39" s="37">
        <v>1000</v>
      </c>
      <c r="K39" s="37">
        <v>1500</v>
      </c>
      <c r="L39" s="67">
        <v>2000</v>
      </c>
      <c r="M39" s="67"/>
      <c r="N39" s="123" t="s">
        <v>258</v>
      </c>
      <c r="O39" s="56"/>
      <c r="P39" s="127"/>
      <c r="Q39" s="115" t="s">
        <v>115</v>
      </c>
      <c r="R39" s="115" t="s">
        <v>115</v>
      </c>
      <c r="S39" s="115" t="s">
        <v>115</v>
      </c>
      <c r="T39" s="115" t="s">
        <v>115</v>
      </c>
      <c r="U39" s="115"/>
      <c r="V39" s="115"/>
      <c r="W39" s="115"/>
      <c r="X39" s="54"/>
      <c r="Y39" s="90" t="s">
        <v>117</v>
      </c>
      <c r="Z39" s="132"/>
      <c r="AA39" s="132"/>
      <c r="AB39" s="132"/>
      <c r="AC39" s="132"/>
      <c r="AD39" s="132"/>
      <c r="AE39" s="132"/>
      <c r="AF39" s="132"/>
      <c r="AG39" s="132"/>
      <c r="AH39" s="132"/>
      <c r="AI39" s="132"/>
      <c r="AJ39" s="132"/>
      <c r="AK39" s="132"/>
      <c r="AL39" s="132">
        <v>2000</v>
      </c>
      <c r="AM39" s="132"/>
      <c r="AN39" s="132"/>
      <c r="AO39" s="132">
        <v>2000</v>
      </c>
      <c r="AP39" s="132"/>
      <c r="AQ39" s="90"/>
      <c r="AR39" s="112" t="s">
        <v>117</v>
      </c>
      <c r="AS39" s="123" t="s">
        <v>259</v>
      </c>
      <c r="AT39" s="67" t="s">
        <v>1925</v>
      </c>
      <c r="AU39" s="35" t="s">
        <v>240</v>
      </c>
      <c r="AV39" s="93"/>
      <c r="AW39" s="157"/>
      <c r="AX39" s="158" t="s">
        <v>241</v>
      </c>
      <c r="AY39" s="158" t="s">
        <v>91</v>
      </c>
      <c r="AZ39" s="158" t="str">
        <f t="shared" si="38"/>
        <v>工业高新区</v>
      </c>
      <c r="BA39" s="158" t="str">
        <f t="shared" si="4"/>
        <v>工业</v>
      </c>
      <c r="BB39" s="167"/>
      <c r="BC39" s="160"/>
      <c r="BD39" s="157"/>
      <c r="BE39" s="157"/>
      <c r="BF39" s="157"/>
      <c r="BG39" s="157"/>
      <c r="BH39" s="157"/>
      <c r="BI39" s="157"/>
      <c r="BJ39" s="157" t="str">
        <f t="shared" si="39"/>
        <v>钦州高新区管委3月</v>
      </c>
      <c r="BK39" s="157" t="s">
        <v>92</v>
      </c>
      <c r="BL39" s="157" t="s">
        <v>93</v>
      </c>
      <c r="BM39" s="201" t="str">
        <f t="shared" si="40"/>
        <v>企业钦州高新区管委</v>
      </c>
      <c r="BN39" s="201" t="str">
        <f t="shared" si="41"/>
        <v>产业钦州高新区管委</v>
      </c>
      <c r="BO39" s="201">
        <f t="shared" si="42"/>
        <v>0</v>
      </c>
      <c r="BP39" s="157"/>
      <c r="BQ39" s="157">
        <f t="shared" si="43"/>
        <v>0</v>
      </c>
      <c r="BR39" s="157">
        <f t="shared" si="44"/>
        <v>0</v>
      </c>
      <c r="BS39" s="157">
        <f t="shared" si="45"/>
        <v>0</v>
      </c>
      <c r="BT39" s="157">
        <f t="shared" si="46"/>
        <v>0</v>
      </c>
      <c r="BU39" s="157">
        <f t="shared" si="47"/>
        <v>1</v>
      </c>
      <c r="BV39" s="157"/>
      <c r="BW39" s="206"/>
      <c r="BZ39" s="228"/>
      <c r="CA39" s="229"/>
    </row>
    <row r="40" s="9" customFormat="1" ht="18" customHeight="1" spans="1:74">
      <c r="A40" s="23"/>
      <c r="B40" s="557" t="str">
        <f>"钦南区（"&amp;SUBTOTAL(3,C41:C42)&amp;"个）"</f>
        <v>钦南区（2个）</v>
      </c>
      <c r="C40" s="551"/>
      <c r="D40" s="554"/>
      <c r="E40" s="551"/>
      <c r="F40" s="134">
        <f t="shared" ref="F40:M40" si="48">SUBTOTAL(9,F41:F42)</f>
        <v>18000</v>
      </c>
      <c r="G40" s="134"/>
      <c r="H40" s="134"/>
      <c r="I40" s="134">
        <f t="shared" si="48"/>
        <v>2350</v>
      </c>
      <c r="J40" s="134">
        <f t="shared" si="48"/>
        <v>6100</v>
      </c>
      <c r="K40" s="134">
        <f t="shared" si="48"/>
        <v>7700</v>
      </c>
      <c r="L40" s="134">
        <f t="shared" si="48"/>
        <v>11000</v>
      </c>
      <c r="M40" s="134">
        <f t="shared" si="48"/>
        <v>0</v>
      </c>
      <c r="N40" s="591"/>
      <c r="O40" s="134"/>
      <c r="P40" s="134"/>
      <c r="Q40" s="134"/>
      <c r="R40" s="134"/>
      <c r="S40" s="134"/>
      <c r="T40" s="134"/>
      <c r="U40" s="134"/>
      <c r="V40" s="134"/>
      <c r="W40" s="134"/>
      <c r="X40" s="90"/>
      <c r="Y40" s="90"/>
      <c r="Z40" s="132"/>
      <c r="AA40" s="132"/>
      <c r="AB40" s="132"/>
      <c r="AC40" s="132"/>
      <c r="AD40" s="132"/>
      <c r="AE40" s="132"/>
      <c r="AF40" s="132"/>
      <c r="AG40" s="132"/>
      <c r="AH40" s="132"/>
      <c r="AI40" s="132"/>
      <c r="AJ40" s="132"/>
      <c r="AK40" s="132"/>
      <c r="AL40" s="132"/>
      <c r="AM40" s="132"/>
      <c r="AN40" s="132"/>
      <c r="AO40" s="132"/>
      <c r="AP40" s="132"/>
      <c r="AQ40" s="90"/>
      <c r="AR40" s="112"/>
      <c r="AS40" s="591"/>
      <c r="AT40" s="134"/>
      <c r="AU40" s="134"/>
      <c r="AV40" s="93"/>
      <c r="AW40" s="165"/>
      <c r="AX40" s="158"/>
      <c r="AY40" s="158"/>
      <c r="AZ40" s="158"/>
      <c r="BA40" s="158"/>
      <c r="BB40" s="169"/>
      <c r="BC40" s="165"/>
      <c r="BD40" s="165"/>
      <c r="BE40" s="165"/>
      <c r="BF40" s="169"/>
      <c r="BG40" s="169"/>
      <c r="BH40" s="169"/>
      <c r="BI40" s="183"/>
      <c r="BJ40" s="165"/>
      <c r="BK40" s="157"/>
      <c r="BL40" s="157"/>
      <c r="BN40" s="201"/>
      <c r="BO40" s="7"/>
      <c r="BP40" s="157"/>
      <c r="BQ40" s="157"/>
      <c r="BR40" s="157"/>
      <c r="BS40" s="157"/>
      <c r="BT40" s="157"/>
      <c r="BU40" s="157"/>
      <c r="BV40" s="183"/>
    </row>
    <row r="41" ht="55.15" customHeight="1" spans="1:79">
      <c r="A41" s="23">
        <f>SUBTOTAL(3,C$10:C41)</f>
        <v>28</v>
      </c>
      <c r="B41" s="55" t="s">
        <v>351</v>
      </c>
      <c r="C41" s="35" t="s">
        <v>79</v>
      </c>
      <c r="D41" s="55" t="s">
        <v>352</v>
      </c>
      <c r="E41" s="35" t="s">
        <v>112</v>
      </c>
      <c r="F41" s="36">
        <v>12000</v>
      </c>
      <c r="G41" s="36"/>
      <c r="H41" s="81" t="s">
        <v>353</v>
      </c>
      <c r="I41" s="36">
        <v>350</v>
      </c>
      <c r="J41" s="36">
        <v>2600</v>
      </c>
      <c r="K41" s="36">
        <v>3700</v>
      </c>
      <c r="L41" s="36">
        <v>5000</v>
      </c>
      <c r="M41" s="36"/>
      <c r="N41" s="112" t="s">
        <v>354</v>
      </c>
      <c r="O41" s="111"/>
      <c r="P41" s="67"/>
      <c r="Q41" s="134" t="s">
        <v>115</v>
      </c>
      <c r="R41" s="134" t="s">
        <v>115</v>
      </c>
      <c r="S41" s="134" t="s">
        <v>115</v>
      </c>
      <c r="T41" s="134" t="s">
        <v>115</v>
      </c>
      <c r="U41" s="134"/>
      <c r="V41" s="134"/>
      <c r="W41" s="134" t="s">
        <v>115</v>
      </c>
      <c r="X41" s="171" t="s">
        <v>355</v>
      </c>
      <c r="Y41" s="259" t="s">
        <v>356</v>
      </c>
      <c r="Z41" s="261">
        <v>37.4565</v>
      </c>
      <c r="AA41" s="261">
        <v>37.4565</v>
      </c>
      <c r="AB41" s="261"/>
      <c r="AC41" s="261">
        <v>300</v>
      </c>
      <c r="AD41" s="261">
        <v>50</v>
      </c>
      <c r="AE41" s="261">
        <v>250</v>
      </c>
      <c r="AF41" s="261"/>
      <c r="AG41" s="261"/>
      <c r="AH41" s="261"/>
      <c r="AI41" s="261"/>
      <c r="AJ41" s="261"/>
      <c r="AK41" s="261"/>
      <c r="AL41" s="261">
        <v>2000</v>
      </c>
      <c r="AM41" s="261"/>
      <c r="AN41" s="261"/>
      <c r="AO41" s="261">
        <v>2000</v>
      </c>
      <c r="AP41" s="261"/>
      <c r="AQ41" s="90"/>
      <c r="AR41" s="112" t="s">
        <v>357</v>
      </c>
      <c r="AS41" s="86" t="s">
        <v>358</v>
      </c>
      <c r="AT41" s="87" t="s">
        <v>1926</v>
      </c>
      <c r="AU41" s="35" t="s">
        <v>359</v>
      </c>
      <c r="AV41" s="93"/>
      <c r="AW41" s="157"/>
      <c r="AX41" s="158" t="s">
        <v>360</v>
      </c>
      <c r="AY41" s="158" t="s">
        <v>91</v>
      </c>
      <c r="AZ41" s="158" t="str">
        <f t="shared" ref="AZ41:AZ44" si="49">AY41&amp;AX41</f>
        <v>工业钦南区</v>
      </c>
      <c r="BA41" s="158" t="str">
        <f t="shared" si="4"/>
        <v>工业</v>
      </c>
      <c r="BB41" s="159"/>
      <c r="BC41" s="160"/>
      <c r="BD41" s="157"/>
      <c r="BE41" s="157"/>
      <c r="BF41" s="157"/>
      <c r="BG41" s="157"/>
      <c r="BH41" s="157"/>
      <c r="BI41" s="157"/>
      <c r="BJ41" s="157" t="str">
        <f t="shared" ref="BJ41:BJ44" si="50">AU41&amp;H41</f>
        <v>钦南区人民政府2月</v>
      </c>
      <c r="BK41" s="157" t="s">
        <v>92</v>
      </c>
      <c r="BL41" s="157" t="s">
        <v>93</v>
      </c>
      <c r="BM41" s="201" t="str">
        <f t="shared" ref="BM41:BM44" si="51">BK41&amp;AU41</f>
        <v>企业钦南区人民政府</v>
      </c>
      <c r="BN41" s="201" t="str">
        <f t="shared" ref="BN41:BN44" si="52">BL41&amp;AU41</f>
        <v>产业钦南区人民政府</v>
      </c>
      <c r="BO41" s="201">
        <f t="shared" ref="BO41:BO44" si="53">IF(O41&gt;0,1,0)</f>
        <v>0</v>
      </c>
      <c r="BP41" s="157"/>
      <c r="BQ41" s="157">
        <f t="shared" ref="BQ41:BQ44" si="54">IF(Z41&gt;0,1,0)</f>
        <v>1</v>
      </c>
      <c r="BR41" s="157">
        <f t="shared" ref="BR41:BR44" si="55">IF(AF41&gt;0,1,0)</f>
        <v>0</v>
      </c>
      <c r="BS41" s="157">
        <f t="shared" ref="BS41:BS44" si="56">IF(AC41&gt;0,1,0)</f>
        <v>1</v>
      </c>
      <c r="BT41" s="157">
        <f t="shared" ref="BT41:BT44" si="57">IF(AI41&gt;0,1,0)</f>
        <v>0</v>
      </c>
      <c r="BU41" s="157">
        <f t="shared" ref="BU41:BU44" si="58">IF(AL41&gt;0,1,0)</f>
        <v>1</v>
      </c>
      <c r="BV41" s="157"/>
      <c r="BW41" s="206"/>
      <c r="CA41" s="206"/>
    </row>
    <row r="42" ht="52.5" customHeight="1" spans="1:79">
      <c r="A42" s="23">
        <f>SUBTOTAL(3,C$10:C42)</f>
        <v>29</v>
      </c>
      <c r="B42" s="233" t="s">
        <v>361</v>
      </c>
      <c r="C42" s="87" t="s">
        <v>79</v>
      </c>
      <c r="D42" s="233" t="s">
        <v>362</v>
      </c>
      <c r="E42" s="87" t="s">
        <v>112</v>
      </c>
      <c r="F42" s="234">
        <v>6000</v>
      </c>
      <c r="G42" s="234"/>
      <c r="H42" s="81" t="s">
        <v>244</v>
      </c>
      <c r="I42" s="36">
        <v>2000</v>
      </c>
      <c r="J42" s="36">
        <v>3500</v>
      </c>
      <c r="K42" s="36">
        <v>4000</v>
      </c>
      <c r="L42" s="234">
        <v>6000</v>
      </c>
      <c r="M42" s="234"/>
      <c r="N42" s="125" t="s">
        <v>363</v>
      </c>
      <c r="O42" s="111"/>
      <c r="P42" s="67"/>
      <c r="Q42" s="134" t="s">
        <v>115</v>
      </c>
      <c r="R42" s="134" t="s">
        <v>115</v>
      </c>
      <c r="S42" s="134" t="s">
        <v>115</v>
      </c>
      <c r="T42" s="134" t="s">
        <v>115</v>
      </c>
      <c r="U42" s="134"/>
      <c r="V42" s="134"/>
      <c r="W42" s="134" t="s">
        <v>115</v>
      </c>
      <c r="X42" s="259" t="s">
        <v>364</v>
      </c>
      <c r="Y42" s="771" t="s">
        <v>365</v>
      </c>
      <c r="Z42" s="261">
        <v>19.9995</v>
      </c>
      <c r="AA42" s="261">
        <v>19.9995</v>
      </c>
      <c r="AB42" s="261"/>
      <c r="AC42" s="261"/>
      <c r="AD42" s="261"/>
      <c r="AE42" s="261"/>
      <c r="AF42" s="261"/>
      <c r="AG42" s="261"/>
      <c r="AH42" s="261"/>
      <c r="AI42" s="261"/>
      <c r="AJ42" s="261"/>
      <c r="AK42" s="261"/>
      <c r="AL42" s="261">
        <v>3000</v>
      </c>
      <c r="AM42" s="261"/>
      <c r="AN42" s="261"/>
      <c r="AO42" s="261">
        <v>3000</v>
      </c>
      <c r="AP42" s="261"/>
      <c r="AQ42" s="90"/>
      <c r="AR42" s="125" t="s">
        <v>366</v>
      </c>
      <c r="AS42" s="778" t="s">
        <v>367</v>
      </c>
      <c r="AT42" s="779" t="s">
        <v>1927</v>
      </c>
      <c r="AU42" s="35" t="s">
        <v>359</v>
      </c>
      <c r="AV42" s="171"/>
      <c r="AW42" s="157"/>
      <c r="AX42" s="158" t="s">
        <v>360</v>
      </c>
      <c r="AY42" s="158" t="s">
        <v>91</v>
      </c>
      <c r="AZ42" s="158" t="str">
        <f t="shared" si="49"/>
        <v>工业钦南区</v>
      </c>
      <c r="BA42" s="158" t="str">
        <f t="shared" si="4"/>
        <v>工业</v>
      </c>
      <c r="BB42" s="159"/>
      <c r="BC42" s="160"/>
      <c r="BD42" s="157"/>
      <c r="BE42" s="157"/>
      <c r="BF42" s="157"/>
      <c r="BG42" s="157"/>
      <c r="BH42" s="157"/>
      <c r="BI42" s="157"/>
      <c r="BJ42" s="157" t="str">
        <f t="shared" si="50"/>
        <v>钦南区人民政府1月</v>
      </c>
      <c r="BK42" s="157" t="s">
        <v>92</v>
      </c>
      <c r="BL42" s="157" t="s">
        <v>93</v>
      </c>
      <c r="BM42" s="201" t="str">
        <f t="shared" si="51"/>
        <v>企业钦南区人民政府</v>
      </c>
      <c r="BN42" s="201" t="str">
        <f t="shared" si="52"/>
        <v>产业钦南区人民政府</v>
      </c>
      <c r="BO42" s="201">
        <f t="shared" si="53"/>
        <v>0</v>
      </c>
      <c r="BP42" s="157"/>
      <c r="BQ42" s="157">
        <f t="shared" si="54"/>
        <v>1</v>
      </c>
      <c r="BR42" s="157">
        <f t="shared" si="55"/>
        <v>0</v>
      </c>
      <c r="BS42" s="157">
        <f t="shared" si="56"/>
        <v>0</v>
      </c>
      <c r="BT42" s="157">
        <f t="shared" si="57"/>
        <v>0</v>
      </c>
      <c r="BU42" s="157">
        <f t="shared" si="58"/>
        <v>1</v>
      </c>
      <c r="BV42" s="157"/>
      <c r="BW42" s="206"/>
      <c r="CA42" s="206"/>
    </row>
    <row r="43" s="9" customFormat="1" ht="18.75" customHeight="1" spans="1:74">
      <c r="A43" s="551"/>
      <c r="B43" s="557" t="str">
        <f>"钦北区（"&amp;SUBTOTAL(3,C44:C50)&amp;"个）"</f>
        <v>钦北区（7个）</v>
      </c>
      <c r="C43" s="551"/>
      <c r="D43" s="554"/>
      <c r="E43" s="551"/>
      <c r="F43" s="134">
        <f t="shared" ref="F43:M43" si="59">SUBTOTAL(9,F44:F50)</f>
        <v>145300</v>
      </c>
      <c r="G43" s="134"/>
      <c r="H43" s="134"/>
      <c r="I43" s="134">
        <f t="shared" si="59"/>
        <v>2000</v>
      </c>
      <c r="J43" s="134">
        <f t="shared" si="59"/>
        <v>3050</v>
      </c>
      <c r="K43" s="134">
        <f t="shared" si="59"/>
        <v>12200</v>
      </c>
      <c r="L43" s="134">
        <f t="shared" si="59"/>
        <v>35000</v>
      </c>
      <c r="M43" s="134">
        <f t="shared" si="59"/>
        <v>15000</v>
      </c>
      <c r="N43" s="591"/>
      <c r="O43" s="134"/>
      <c r="P43" s="134"/>
      <c r="Q43" s="134"/>
      <c r="R43" s="134"/>
      <c r="S43" s="134"/>
      <c r="T43" s="134"/>
      <c r="U43" s="134"/>
      <c r="V43" s="134"/>
      <c r="W43" s="134"/>
      <c r="X43" s="674"/>
      <c r="Y43" s="674"/>
      <c r="Z43" s="251"/>
      <c r="AA43" s="251"/>
      <c r="AB43" s="251"/>
      <c r="AC43" s="251"/>
      <c r="AD43" s="251"/>
      <c r="AE43" s="251"/>
      <c r="AF43" s="251"/>
      <c r="AG43" s="251"/>
      <c r="AH43" s="251"/>
      <c r="AI43" s="251"/>
      <c r="AJ43" s="251"/>
      <c r="AK43" s="251"/>
      <c r="AL43" s="251"/>
      <c r="AM43" s="251"/>
      <c r="AN43" s="251"/>
      <c r="AO43" s="251"/>
      <c r="AP43" s="251"/>
      <c r="AQ43" s="674"/>
      <c r="AR43" s="244"/>
      <c r="AS43" s="591"/>
      <c r="AT43" s="134"/>
      <c r="AU43" s="134"/>
      <c r="AV43" s="93"/>
      <c r="AW43" s="165"/>
      <c r="AX43" s="158"/>
      <c r="AY43" s="158"/>
      <c r="AZ43" s="158"/>
      <c r="BA43" s="158"/>
      <c r="BB43" s="169"/>
      <c r="BC43" s="165"/>
      <c r="BD43" s="165"/>
      <c r="BE43" s="165"/>
      <c r="BF43" s="169"/>
      <c r="BG43" s="169"/>
      <c r="BH43" s="169"/>
      <c r="BI43" s="183"/>
      <c r="BJ43" s="165"/>
      <c r="BK43" s="157"/>
      <c r="BL43" s="157"/>
      <c r="BN43" s="201"/>
      <c r="BO43" s="7"/>
      <c r="BP43" s="157"/>
      <c r="BQ43" s="157"/>
      <c r="BR43" s="157"/>
      <c r="BS43" s="157"/>
      <c r="BT43" s="157"/>
      <c r="BU43" s="157"/>
      <c r="BV43" s="183"/>
    </row>
    <row r="44" ht="66" customHeight="1" spans="1:79">
      <c r="A44" s="23">
        <f>SUBTOTAL(3,C$10:C44)</f>
        <v>30</v>
      </c>
      <c r="B44" s="60" t="s">
        <v>368</v>
      </c>
      <c r="C44" s="23" t="s">
        <v>79</v>
      </c>
      <c r="D44" s="88" t="s">
        <v>369</v>
      </c>
      <c r="E44" s="23" t="s">
        <v>112</v>
      </c>
      <c r="F44" s="247">
        <v>34800</v>
      </c>
      <c r="G44" s="247"/>
      <c r="H44" s="81" t="s">
        <v>195</v>
      </c>
      <c r="I44" s="76">
        <v>2000</v>
      </c>
      <c r="J44" s="37">
        <v>2000</v>
      </c>
      <c r="K44" s="36">
        <v>2000</v>
      </c>
      <c r="L44" s="36">
        <v>10000</v>
      </c>
      <c r="M44" s="36">
        <v>15000</v>
      </c>
      <c r="N44" s="112" t="s">
        <v>370</v>
      </c>
      <c r="O44" s="256"/>
      <c r="P44" s="257"/>
      <c r="Q44" s="265" t="s">
        <v>115</v>
      </c>
      <c r="R44" s="265" t="s">
        <v>115</v>
      </c>
      <c r="S44" s="265" t="s">
        <v>115</v>
      </c>
      <c r="T44" s="265" t="s">
        <v>115</v>
      </c>
      <c r="U44" s="265"/>
      <c r="V44" s="265"/>
      <c r="W44" s="265"/>
      <c r="X44" s="90" t="s">
        <v>371</v>
      </c>
      <c r="Y44" s="90" t="s">
        <v>372</v>
      </c>
      <c r="Z44" s="132">
        <v>150</v>
      </c>
      <c r="AA44" s="132">
        <v>0</v>
      </c>
      <c r="AB44" s="132">
        <v>150</v>
      </c>
      <c r="AC44" s="132"/>
      <c r="AD44" s="132"/>
      <c r="AE44" s="132"/>
      <c r="AF44" s="132"/>
      <c r="AG44" s="132"/>
      <c r="AH44" s="132"/>
      <c r="AI44" s="132"/>
      <c r="AJ44" s="132"/>
      <c r="AK44" s="132"/>
      <c r="AL44" s="132"/>
      <c r="AM44" s="132"/>
      <c r="AN44" s="132"/>
      <c r="AO44" s="132"/>
      <c r="AP44" s="132"/>
      <c r="AQ44" s="90"/>
      <c r="AR44" s="112" t="s">
        <v>373</v>
      </c>
      <c r="AS44" s="123" t="s">
        <v>374</v>
      </c>
      <c r="AT44" s="67" t="s">
        <v>1928</v>
      </c>
      <c r="AU44" s="67" t="s">
        <v>375</v>
      </c>
      <c r="AV44" s="55"/>
      <c r="AW44" s="157"/>
      <c r="AX44" s="158" t="s">
        <v>376</v>
      </c>
      <c r="AY44" s="158" t="s">
        <v>91</v>
      </c>
      <c r="AZ44" s="158" t="str">
        <f t="shared" si="49"/>
        <v>工业钦北区</v>
      </c>
      <c r="BA44" s="158" t="str">
        <f>AY44</f>
        <v>工业</v>
      </c>
      <c r="BB44" s="159"/>
      <c r="BC44" s="160"/>
      <c r="BD44" s="157"/>
      <c r="BE44" s="157"/>
      <c r="BF44" s="157"/>
      <c r="BG44" s="157"/>
      <c r="BH44" s="157"/>
      <c r="BI44" s="273"/>
      <c r="BJ44" s="157" t="str">
        <f t="shared" si="50"/>
        <v>钦北区人民政府3月</v>
      </c>
      <c r="BK44" s="157" t="s">
        <v>92</v>
      </c>
      <c r="BL44" s="157" t="s">
        <v>93</v>
      </c>
      <c r="BM44" s="201" t="str">
        <f t="shared" si="51"/>
        <v>企业钦北区人民政府</v>
      </c>
      <c r="BN44" s="201" t="str">
        <f t="shared" si="52"/>
        <v>产业钦北区人民政府</v>
      </c>
      <c r="BO44" s="201">
        <f t="shared" si="53"/>
        <v>0</v>
      </c>
      <c r="BP44" s="157"/>
      <c r="BQ44" s="157">
        <f t="shared" si="54"/>
        <v>1</v>
      </c>
      <c r="BR44" s="157">
        <f t="shared" si="55"/>
        <v>0</v>
      </c>
      <c r="BS44" s="157">
        <f t="shared" si="56"/>
        <v>0</v>
      </c>
      <c r="BT44" s="157">
        <f t="shared" si="57"/>
        <v>0</v>
      </c>
      <c r="BU44" s="157">
        <f t="shared" si="58"/>
        <v>0</v>
      </c>
      <c r="BV44" s="273"/>
      <c r="BW44" s="206"/>
      <c r="CA44" s="206"/>
    </row>
    <row r="45" ht="66" customHeight="1" spans="1:79">
      <c r="A45" s="23">
        <f>SUBTOTAL(3,C$10:C45)</f>
        <v>31</v>
      </c>
      <c r="B45" s="34" t="s">
        <v>377</v>
      </c>
      <c r="C45" s="235" t="s">
        <v>79</v>
      </c>
      <c r="D45" s="559" t="s">
        <v>378</v>
      </c>
      <c r="E45" s="35" t="s">
        <v>112</v>
      </c>
      <c r="F45" s="36">
        <v>30000</v>
      </c>
      <c r="G45" s="36"/>
      <c r="H45" s="81" t="s">
        <v>209</v>
      </c>
      <c r="I45" s="81"/>
      <c r="J45" s="81"/>
      <c r="K45" s="37">
        <v>800</v>
      </c>
      <c r="L45" s="36">
        <v>3000</v>
      </c>
      <c r="M45" s="36"/>
      <c r="N45" s="112" t="s">
        <v>379</v>
      </c>
      <c r="O45" s="256"/>
      <c r="P45" s="257"/>
      <c r="Q45" s="265" t="s">
        <v>115</v>
      </c>
      <c r="R45" s="265" t="s">
        <v>115</v>
      </c>
      <c r="S45" s="265" t="s">
        <v>115</v>
      </c>
      <c r="T45" s="265" t="s">
        <v>115</v>
      </c>
      <c r="U45" s="265"/>
      <c r="V45" s="265"/>
      <c r="W45" s="265"/>
      <c r="X45" s="90"/>
      <c r="Y45" s="90"/>
      <c r="Z45" s="132">
        <v>150</v>
      </c>
      <c r="AA45" s="132">
        <v>0</v>
      </c>
      <c r="AB45" s="132">
        <v>150</v>
      </c>
      <c r="AC45" s="132"/>
      <c r="AD45" s="132"/>
      <c r="AE45" s="132"/>
      <c r="AF45" s="132"/>
      <c r="AG45" s="132"/>
      <c r="AH45" s="132"/>
      <c r="AI45" s="132"/>
      <c r="AJ45" s="132"/>
      <c r="AK45" s="132"/>
      <c r="AL45" s="132"/>
      <c r="AM45" s="132"/>
      <c r="AN45" s="132"/>
      <c r="AO45" s="132"/>
      <c r="AP45" s="132"/>
      <c r="AQ45" s="90"/>
      <c r="AR45" s="112" t="s">
        <v>380</v>
      </c>
      <c r="AS45" s="780" t="s">
        <v>381</v>
      </c>
      <c r="AT45" s="35" t="s">
        <v>1929</v>
      </c>
      <c r="AU45" s="67" t="s">
        <v>375</v>
      </c>
      <c r="AV45" s="55"/>
      <c r="AW45" s="157"/>
      <c r="AX45" s="158" t="s">
        <v>376</v>
      </c>
      <c r="AY45" s="158" t="s">
        <v>91</v>
      </c>
      <c r="AZ45" s="158" t="str">
        <f t="shared" ref="AZ45:AZ50" si="60">AY45&amp;AX45</f>
        <v>工业钦北区</v>
      </c>
      <c r="BA45" s="158" t="str">
        <f t="shared" si="4"/>
        <v>工业</v>
      </c>
      <c r="BB45" s="159"/>
      <c r="BC45" s="160"/>
      <c r="BD45" s="157"/>
      <c r="BE45" s="157"/>
      <c r="BF45" s="157"/>
      <c r="BG45" s="157"/>
      <c r="BH45" s="157"/>
      <c r="BI45" s="273"/>
      <c r="BJ45" s="157" t="str">
        <f t="shared" ref="BJ45:BJ50" si="61">AU45&amp;H45</f>
        <v>钦北区人民政府8月</v>
      </c>
      <c r="BK45" s="157" t="s">
        <v>92</v>
      </c>
      <c r="BL45" s="157" t="s">
        <v>93</v>
      </c>
      <c r="BM45" s="201" t="str">
        <f t="shared" ref="BM45:BM50" si="62">BK45&amp;AU45</f>
        <v>企业钦北区人民政府</v>
      </c>
      <c r="BN45" s="201" t="str">
        <f t="shared" ref="BN45:BN50" si="63">BL45&amp;AU45</f>
        <v>产业钦北区人民政府</v>
      </c>
      <c r="BO45" s="201">
        <f t="shared" ref="BO45:BO50" si="64">IF(O45&gt;0,1,0)</f>
        <v>0</v>
      </c>
      <c r="BP45" s="157"/>
      <c r="BQ45" s="157">
        <f t="shared" ref="BQ45:BQ50" si="65">IF(Z45&gt;0,1,0)</f>
        <v>1</v>
      </c>
      <c r="BR45" s="157">
        <f t="shared" ref="BR45:BR50" si="66">IF(AF45&gt;0,1,0)</f>
        <v>0</v>
      </c>
      <c r="BS45" s="157">
        <f t="shared" ref="BS45:BS50" si="67">IF(AC45&gt;0,1,0)</f>
        <v>0</v>
      </c>
      <c r="BT45" s="157">
        <f t="shared" ref="BT45:BT50" si="68">IF(AI45&gt;0,1,0)</f>
        <v>0</v>
      </c>
      <c r="BU45" s="157">
        <f t="shared" ref="BU45:BU50" si="69">IF(AL45&gt;0,1,0)</f>
        <v>0</v>
      </c>
      <c r="BV45" s="273"/>
      <c r="BW45" s="206"/>
      <c r="CA45" s="206"/>
    </row>
    <row r="46" s="9" customFormat="1" ht="51" customHeight="1" spans="1:81">
      <c r="A46" s="23">
        <f>SUBTOTAL(3,C$10:C46)</f>
        <v>32</v>
      </c>
      <c r="B46" s="55" t="s">
        <v>382</v>
      </c>
      <c r="C46" s="23" t="s">
        <v>79</v>
      </c>
      <c r="D46" s="55" t="s">
        <v>383</v>
      </c>
      <c r="E46" s="35" t="s">
        <v>112</v>
      </c>
      <c r="F46" s="156">
        <v>20000</v>
      </c>
      <c r="G46" s="156"/>
      <c r="H46" s="83" t="s">
        <v>263</v>
      </c>
      <c r="I46" s="83"/>
      <c r="J46" s="83"/>
      <c r="K46" s="578">
        <v>1800</v>
      </c>
      <c r="L46" s="36">
        <v>5000</v>
      </c>
      <c r="M46" s="36"/>
      <c r="N46" s="112" t="s">
        <v>384</v>
      </c>
      <c r="O46" s="111"/>
      <c r="P46" s="67"/>
      <c r="Q46" s="134" t="s">
        <v>115</v>
      </c>
      <c r="R46" s="134" t="s">
        <v>115</v>
      </c>
      <c r="S46" s="134"/>
      <c r="T46" s="134"/>
      <c r="U46" s="134"/>
      <c r="V46" s="134"/>
      <c r="W46" s="134"/>
      <c r="X46" s="90" t="s">
        <v>385</v>
      </c>
      <c r="Y46" s="90" t="s">
        <v>386</v>
      </c>
      <c r="Z46" s="132">
        <v>30</v>
      </c>
      <c r="AA46" s="132">
        <v>30</v>
      </c>
      <c r="AB46" s="132">
        <v>0</v>
      </c>
      <c r="AC46" s="132"/>
      <c r="AD46" s="132"/>
      <c r="AE46" s="132"/>
      <c r="AF46" s="132"/>
      <c r="AG46" s="132"/>
      <c r="AH46" s="132"/>
      <c r="AI46" s="132"/>
      <c r="AJ46" s="132"/>
      <c r="AK46" s="132"/>
      <c r="AL46" s="132"/>
      <c r="AM46" s="132"/>
      <c r="AN46" s="132"/>
      <c r="AO46" s="132"/>
      <c r="AP46" s="132"/>
      <c r="AQ46" s="90"/>
      <c r="AR46" s="112" t="s">
        <v>387</v>
      </c>
      <c r="AS46" s="34" t="s">
        <v>388</v>
      </c>
      <c r="AT46" s="35" t="s">
        <v>1930</v>
      </c>
      <c r="AU46" s="67" t="s">
        <v>375</v>
      </c>
      <c r="AV46" s="93"/>
      <c r="AW46" s="157"/>
      <c r="AX46" s="158" t="s">
        <v>376</v>
      </c>
      <c r="AY46" s="158" t="s">
        <v>91</v>
      </c>
      <c r="AZ46" s="158" t="str">
        <f t="shared" si="60"/>
        <v>工业钦北区</v>
      </c>
      <c r="BA46" s="158" t="str">
        <f t="shared" si="4"/>
        <v>工业</v>
      </c>
      <c r="BB46" s="169"/>
      <c r="BC46" s="160"/>
      <c r="BD46" s="165"/>
      <c r="BE46" s="157"/>
      <c r="BF46" s="157"/>
      <c r="BG46" s="157"/>
      <c r="BH46" s="157"/>
      <c r="BI46" s="157"/>
      <c r="BJ46" s="157" t="str">
        <f t="shared" si="61"/>
        <v>钦北区人民政府7月</v>
      </c>
      <c r="BK46" s="157" t="s">
        <v>92</v>
      </c>
      <c r="BL46" s="157" t="s">
        <v>93</v>
      </c>
      <c r="BM46" s="201" t="str">
        <f t="shared" si="62"/>
        <v>企业钦北区人民政府</v>
      </c>
      <c r="BN46" s="201" t="str">
        <f t="shared" si="63"/>
        <v>产业钦北区人民政府</v>
      </c>
      <c r="BO46" s="201">
        <f t="shared" si="64"/>
        <v>0</v>
      </c>
      <c r="BP46" s="157"/>
      <c r="BQ46" s="157">
        <f t="shared" si="65"/>
        <v>1</v>
      </c>
      <c r="BR46" s="157">
        <f t="shared" si="66"/>
        <v>0</v>
      </c>
      <c r="BS46" s="157">
        <f t="shared" si="67"/>
        <v>0</v>
      </c>
      <c r="BT46" s="157">
        <f t="shared" si="68"/>
        <v>0</v>
      </c>
      <c r="BU46" s="157">
        <f t="shared" si="69"/>
        <v>0</v>
      </c>
      <c r="BV46" s="157"/>
      <c r="BW46" s="206"/>
      <c r="BY46" s="206"/>
      <c r="BZ46" s="225"/>
      <c r="CA46" s="206"/>
      <c r="CB46" s="206"/>
      <c r="CC46" s="206"/>
    </row>
    <row r="47" ht="60" customHeight="1" spans="1:79">
      <c r="A47" s="23">
        <f>SUBTOTAL(3,C$10:C47)</f>
        <v>33</v>
      </c>
      <c r="B47" s="60" t="s">
        <v>389</v>
      </c>
      <c r="C47" s="23" t="s">
        <v>79</v>
      </c>
      <c r="D47" s="88" t="s">
        <v>390</v>
      </c>
      <c r="E47" s="23" t="s">
        <v>112</v>
      </c>
      <c r="F47" s="247">
        <v>20000</v>
      </c>
      <c r="G47" s="247"/>
      <c r="H47" s="81" t="s">
        <v>122</v>
      </c>
      <c r="I47" s="81"/>
      <c r="J47" s="81"/>
      <c r="K47" s="37">
        <v>2200</v>
      </c>
      <c r="L47" s="36">
        <v>5000</v>
      </c>
      <c r="M47" s="36"/>
      <c r="N47" s="112" t="s">
        <v>379</v>
      </c>
      <c r="O47" s="111"/>
      <c r="P47" s="67"/>
      <c r="Q47" s="134" t="s">
        <v>115</v>
      </c>
      <c r="R47" s="134" t="s">
        <v>115</v>
      </c>
      <c r="S47" s="134"/>
      <c r="T47" s="134"/>
      <c r="U47" s="134"/>
      <c r="V47" s="134"/>
      <c r="W47" s="134"/>
      <c r="X47" s="90" t="s">
        <v>391</v>
      </c>
      <c r="Y47" s="90" t="s">
        <v>392</v>
      </c>
      <c r="Z47" s="132">
        <v>129</v>
      </c>
      <c r="AA47" s="132">
        <v>70</v>
      </c>
      <c r="AB47" s="132">
        <v>59</v>
      </c>
      <c r="AC47" s="132"/>
      <c r="AD47" s="132"/>
      <c r="AE47" s="132"/>
      <c r="AF47" s="132"/>
      <c r="AG47" s="132"/>
      <c r="AH47" s="132"/>
      <c r="AI47" s="132"/>
      <c r="AJ47" s="132"/>
      <c r="AK47" s="132"/>
      <c r="AL47" s="132"/>
      <c r="AM47" s="132"/>
      <c r="AN47" s="132"/>
      <c r="AO47" s="132"/>
      <c r="AP47" s="132"/>
      <c r="AQ47" s="90"/>
      <c r="AR47" s="112" t="s">
        <v>393</v>
      </c>
      <c r="AS47" s="123" t="s">
        <v>394</v>
      </c>
      <c r="AT47" s="67" t="s">
        <v>1931</v>
      </c>
      <c r="AU47" s="67" t="s">
        <v>375</v>
      </c>
      <c r="AV47" s="93"/>
      <c r="AW47" s="157"/>
      <c r="AX47" s="158" t="s">
        <v>376</v>
      </c>
      <c r="AY47" s="158" t="s">
        <v>91</v>
      </c>
      <c r="AZ47" s="158" t="str">
        <f t="shared" si="60"/>
        <v>工业钦北区</v>
      </c>
      <c r="BA47" s="158" t="str">
        <f t="shared" si="4"/>
        <v>工业</v>
      </c>
      <c r="BB47" s="159"/>
      <c r="BC47" s="160"/>
      <c r="BD47" s="157"/>
      <c r="BE47" s="157"/>
      <c r="BF47" s="157"/>
      <c r="BG47" s="157"/>
      <c r="BH47" s="157"/>
      <c r="BI47" s="273"/>
      <c r="BJ47" s="157" t="str">
        <f t="shared" si="61"/>
        <v>钦北区人民政府6月</v>
      </c>
      <c r="BK47" s="157" t="s">
        <v>92</v>
      </c>
      <c r="BL47" s="157" t="s">
        <v>93</v>
      </c>
      <c r="BM47" s="201" t="str">
        <f t="shared" si="62"/>
        <v>企业钦北区人民政府</v>
      </c>
      <c r="BN47" s="201" t="str">
        <f t="shared" si="63"/>
        <v>产业钦北区人民政府</v>
      </c>
      <c r="BO47" s="201">
        <f t="shared" si="64"/>
        <v>0</v>
      </c>
      <c r="BP47" s="157"/>
      <c r="BQ47" s="157">
        <f t="shared" si="65"/>
        <v>1</v>
      </c>
      <c r="BR47" s="157">
        <f t="shared" si="66"/>
        <v>0</v>
      </c>
      <c r="BS47" s="157">
        <f t="shared" si="67"/>
        <v>0</v>
      </c>
      <c r="BT47" s="157">
        <f t="shared" si="68"/>
        <v>0</v>
      </c>
      <c r="BU47" s="157">
        <f t="shared" si="69"/>
        <v>0</v>
      </c>
      <c r="BV47" s="273"/>
      <c r="BW47" s="206"/>
      <c r="CA47" s="206"/>
    </row>
    <row r="48" ht="63.75" customHeight="1" spans="1:79">
      <c r="A48" s="23">
        <f>SUBTOTAL(3,C$10:C48)</f>
        <v>34</v>
      </c>
      <c r="B48" s="55" t="s">
        <v>395</v>
      </c>
      <c r="C48" s="23" t="s">
        <v>79</v>
      </c>
      <c r="D48" s="88" t="s">
        <v>396</v>
      </c>
      <c r="E48" s="35" t="s">
        <v>112</v>
      </c>
      <c r="F48" s="35">
        <v>16000</v>
      </c>
      <c r="G48" s="35"/>
      <c r="H48" s="81" t="s">
        <v>144</v>
      </c>
      <c r="I48" s="81"/>
      <c r="J48" s="37">
        <v>300</v>
      </c>
      <c r="K48" s="37">
        <v>2400</v>
      </c>
      <c r="L48" s="36">
        <v>5000</v>
      </c>
      <c r="M48" s="36"/>
      <c r="N48" s="112" t="s">
        <v>397</v>
      </c>
      <c r="O48" s="111"/>
      <c r="P48" s="67"/>
      <c r="Q48" s="265" t="s">
        <v>115</v>
      </c>
      <c r="R48" s="265" t="s">
        <v>115</v>
      </c>
      <c r="S48" s="265" t="s">
        <v>115</v>
      </c>
      <c r="T48" s="265" t="s">
        <v>115</v>
      </c>
      <c r="U48" s="134"/>
      <c r="V48" s="134"/>
      <c r="W48" s="134"/>
      <c r="X48" s="90" t="s">
        <v>398</v>
      </c>
      <c r="Y48" s="90" t="s">
        <v>372</v>
      </c>
      <c r="Z48" s="132">
        <v>60</v>
      </c>
      <c r="AA48" s="132">
        <v>0</v>
      </c>
      <c r="AB48" s="132">
        <v>60</v>
      </c>
      <c r="AC48" s="132"/>
      <c r="AD48" s="132"/>
      <c r="AE48" s="132"/>
      <c r="AF48" s="132"/>
      <c r="AG48" s="132"/>
      <c r="AH48" s="132"/>
      <c r="AI48" s="132"/>
      <c r="AJ48" s="132"/>
      <c r="AK48" s="132"/>
      <c r="AL48" s="132"/>
      <c r="AM48" s="132"/>
      <c r="AN48" s="132"/>
      <c r="AO48" s="132"/>
      <c r="AP48" s="132"/>
      <c r="AQ48" s="90"/>
      <c r="AR48" s="112" t="s">
        <v>399</v>
      </c>
      <c r="AS48" s="34" t="s">
        <v>400</v>
      </c>
      <c r="AT48" s="35" t="s">
        <v>1932</v>
      </c>
      <c r="AU48" s="67" t="s">
        <v>375</v>
      </c>
      <c r="AV48" s="93"/>
      <c r="AW48" s="157"/>
      <c r="AX48" s="158" t="s">
        <v>376</v>
      </c>
      <c r="AY48" s="158" t="s">
        <v>91</v>
      </c>
      <c r="AZ48" s="158" t="str">
        <f t="shared" si="60"/>
        <v>工业钦北区</v>
      </c>
      <c r="BA48" s="158" t="str">
        <f t="shared" si="4"/>
        <v>工业</v>
      </c>
      <c r="BB48" s="159"/>
      <c r="BC48" s="160"/>
      <c r="BD48" s="157"/>
      <c r="BE48" s="157"/>
      <c r="BF48" s="157"/>
      <c r="BG48" s="157"/>
      <c r="BH48" s="157"/>
      <c r="BI48" s="181"/>
      <c r="BJ48" s="157" t="str">
        <f t="shared" si="61"/>
        <v>钦北区人民政府5月</v>
      </c>
      <c r="BK48" s="157" t="s">
        <v>92</v>
      </c>
      <c r="BL48" s="157" t="s">
        <v>93</v>
      </c>
      <c r="BM48" s="201" t="str">
        <f t="shared" si="62"/>
        <v>企业钦北区人民政府</v>
      </c>
      <c r="BN48" s="201" t="str">
        <f t="shared" si="63"/>
        <v>产业钦北区人民政府</v>
      </c>
      <c r="BO48" s="201">
        <f t="shared" si="64"/>
        <v>0</v>
      </c>
      <c r="BP48" s="157"/>
      <c r="BQ48" s="157">
        <f t="shared" si="65"/>
        <v>1</v>
      </c>
      <c r="BR48" s="157">
        <f t="shared" si="66"/>
        <v>0</v>
      </c>
      <c r="BS48" s="157">
        <f t="shared" si="67"/>
        <v>0</v>
      </c>
      <c r="BT48" s="157">
        <f t="shared" si="68"/>
        <v>0</v>
      </c>
      <c r="BU48" s="157">
        <f t="shared" si="69"/>
        <v>0</v>
      </c>
      <c r="BV48" s="181"/>
      <c r="BW48" s="206"/>
      <c r="BX48" s="4" t="s">
        <v>1904</v>
      </c>
      <c r="CA48" s="206"/>
    </row>
    <row r="49" ht="60.75" customHeight="1" spans="1:79">
      <c r="A49" s="23">
        <f>SUBTOTAL(3,C$10:C49)</f>
        <v>35</v>
      </c>
      <c r="B49" s="55" t="s">
        <v>401</v>
      </c>
      <c r="C49" s="23" t="s">
        <v>79</v>
      </c>
      <c r="D49" s="55" t="s">
        <v>402</v>
      </c>
      <c r="E49" s="35" t="s">
        <v>112</v>
      </c>
      <c r="F49" s="36">
        <v>12500</v>
      </c>
      <c r="G49" s="36"/>
      <c r="H49" s="81" t="s">
        <v>195</v>
      </c>
      <c r="I49" s="81"/>
      <c r="J49" s="37">
        <v>750</v>
      </c>
      <c r="K49" s="37">
        <v>3000</v>
      </c>
      <c r="L49" s="36">
        <v>5000</v>
      </c>
      <c r="M49" s="36"/>
      <c r="N49" s="112" t="s">
        <v>403</v>
      </c>
      <c r="O49" s="111"/>
      <c r="P49" s="67"/>
      <c r="Q49" s="134" t="s">
        <v>115</v>
      </c>
      <c r="R49" s="134" t="s">
        <v>115</v>
      </c>
      <c r="S49" s="134"/>
      <c r="T49" s="134"/>
      <c r="U49" s="134"/>
      <c r="V49" s="134"/>
      <c r="W49" s="134"/>
      <c r="X49" s="90" t="s">
        <v>404</v>
      </c>
      <c r="Y49" s="90" t="s">
        <v>117</v>
      </c>
      <c r="Z49" s="132"/>
      <c r="AA49" s="132"/>
      <c r="AB49" s="132"/>
      <c r="AC49" s="132"/>
      <c r="AD49" s="132"/>
      <c r="AE49" s="132"/>
      <c r="AF49" s="132"/>
      <c r="AG49" s="132"/>
      <c r="AH49" s="132"/>
      <c r="AI49" s="132"/>
      <c r="AJ49" s="132"/>
      <c r="AK49" s="132"/>
      <c r="AL49" s="132"/>
      <c r="AM49" s="132"/>
      <c r="AN49" s="132"/>
      <c r="AO49" s="132"/>
      <c r="AP49" s="132"/>
      <c r="AQ49" s="90"/>
      <c r="AR49" s="112" t="s">
        <v>405</v>
      </c>
      <c r="AS49" s="34" t="s">
        <v>406</v>
      </c>
      <c r="AT49" s="35" t="s">
        <v>1933</v>
      </c>
      <c r="AU49" s="67" t="s">
        <v>375</v>
      </c>
      <c r="AV49" s="93"/>
      <c r="AW49" s="157"/>
      <c r="AX49" s="158" t="s">
        <v>376</v>
      </c>
      <c r="AY49" s="158" t="s">
        <v>91</v>
      </c>
      <c r="AZ49" s="158" t="str">
        <f t="shared" si="60"/>
        <v>工业钦北区</v>
      </c>
      <c r="BA49" s="158" t="str">
        <f t="shared" si="4"/>
        <v>工业</v>
      </c>
      <c r="BB49" s="159"/>
      <c r="BC49" s="160"/>
      <c r="BD49" s="157"/>
      <c r="BE49" s="157"/>
      <c r="BF49" s="157"/>
      <c r="BG49" s="157"/>
      <c r="BH49" s="157"/>
      <c r="BI49" s="181"/>
      <c r="BJ49" s="157" t="str">
        <f t="shared" si="61"/>
        <v>钦北区人民政府3月</v>
      </c>
      <c r="BK49" s="157" t="s">
        <v>92</v>
      </c>
      <c r="BL49" s="157" t="s">
        <v>93</v>
      </c>
      <c r="BM49" s="201" t="str">
        <f t="shared" si="62"/>
        <v>企业钦北区人民政府</v>
      </c>
      <c r="BN49" s="201" t="str">
        <f t="shared" si="63"/>
        <v>产业钦北区人民政府</v>
      </c>
      <c r="BO49" s="201">
        <f t="shared" si="64"/>
        <v>0</v>
      </c>
      <c r="BP49" s="157"/>
      <c r="BQ49" s="157">
        <f t="shared" si="65"/>
        <v>0</v>
      </c>
      <c r="BR49" s="157">
        <f t="shared" si="66"/>
        <v>0</v>
      </c>
      <c r="BS49" s="157">
        <f t="shared" si="67"/>
        <v>0</v>
      </c>
      <c r="BT49" s="157">
        <f t="shared" si="68"/>
        <v>0</v>
      </c>
      <c r="BU49" s="157">
        <f t="shared" si="69"/>
        <v>0</v>
      </c>
      <c r="BV49" s="181"/>
      <c r="BW49" s="206"/>
      <c r="CA49" s="206"/>
    </row>
    <row r="50" ht="66" customHeight="1" spans="1:79">
      <c r="A50" s="23">
        <f>SUBTOTAL(3,C$10:C50)</f>
        <v>36</v>
      </c>
      <c r="B50" s="60" t="s">
        <v>407</v>
      </c>
      <c r="C50" s="23" t="s">
        <v>79</v>
      </c>
      <c r="D50" s="60" t="s">
        <v>408</v>
      </c>
      <c r="E50" s="23" t="s">
        <v>112</v>
      </c>
      <c r="F50" s="67">
        <v>12000</v>
      </c>
      <c r="G50" s="67"/>
      <c r="H50" s="81" t="s">
        <v>113</v>
      </c>
      <c r="I50" s="81"/>
      <c r="J50" s="81"/>
      <c r="K50" s="81"/>
      <c r="L50" s="36">
        <v>2000</v>
      </c>
      <c r="M50" s="36"/>
      <c r="N50" s="112" t="s">
        <v>409</v>
      </c>
      <c r="O50" s="256"/>
      <c r="P50" s="257"/>
      <c r="Q50" s="265" t="s">
        <v>115</v>
      </c>
      <c r="R50" s="265" t="s">
        <v>115</v>
      </c>
      <c r="S50" s="265" t="s">
        <v>115</v>
      </c>
      <c r="T50" s="265"/>
      <c r="U50" s="265"/>
      <c r="V50" s="265"/>
      <c r="W50" s="265"/>
      <c r="X50" s="90" t="s">
        <v>410</v>
      </c>
      <c r="Y50" s="90" t="s">
        <v>372</v>
      </c>
      <c r="Z50" s="132">
        <v>40</v>
      </c>
      <c r="AA50" s="132">
        <v>0</v>
      </c>
      <c r="AB50" s="132">
        <v>40</v>
      </c>
      <c r="AC50" s="132"/>
      <c r="AD50" s="132"/>
      <c r="AE50" s="132"/>
      <c r="AF50" s="132"/>
      <c r="AG50" s="132"/>
      <c r="AH50" s="132"/>
      <c r="AI50" s="132"/>
      <c r="AJ50" s="132"/>
      <c r="AK50" s="132"/>
      <c r="AL50" s="132"/>
      <c r="AM50" s="132"/>
      <c r="AN50" s="132"/>
      <c r="AO50" s="132"/>
      <c r="AP50" s="132"/>
      <c r="AQ50" s="90"/>
      <c r="AR50" s="112" t="s">
        <v>117</v>
      </c>
      <c r="AS50" s="123" t="s">
        <v>411</v>
      </c>
      <c r="AT50" s="67" t="s">
        <v>1934</v>
      </c>
      <c r="AU50" s="67" t="s">
        <v>375</v>
      </c>
      <c r="AV50" s="93"/>
      <c r="AW50" s="157"/>
      <c r="AX50" s="158" t="s">
        <v>376</v>
      </c>
      <c r="AY50" s="158" t="s">
        <v>91</v>
      </c>
      <c r="AZ50" s="158" t="str">
        <f t="shared" si="60"/>
        <v>工业钦北区</v>
      </c>
      <c r="BA50" s="158" t="str">
        <f t="shared" si="4"/>
        <v>工业</v>
      </c>
      <c r="BB50" s="159"/>
      <c r="BC50" s="160"/>
      <c r="BD50" s="157"/>
      <c r="BE50" s="157"/>
      <c r="BF50" s="157"/>
      <c r="BG50" s="157"/>
      <c r="BH50" s="157"/>
      <c r="BI50" s="273"/>
      <c r="BJ50" s="157" t="str">
        <f t="shared" si="61"/>
        <v>钦北区人民政府9月</v>
      </c>
      <c r="BK50" s="157" t="s">
        <v>92</v>
      </c>
      <c r="BL50" s="157" t="s">
        <v>93</v>
      </c>
      <c r="BM50" s="201" t="str">
        <f t="shared" si="62"/>
        <v>企业钦北区人民政府</v>
      </c>
      <c r="BN50" s="201" t="str">
        <f t="shared" si="63"/>
        <v>产业钦北区人民政府</v>
      </c>
      <c r="BO50" s="201">
        <f t="shared" si="64"/>
        <v>0</v>
      </c>
      <c r="BP50" s="157"/>
      <c r="BQ50" s="157">
        <f t="shared" si="65"/>
        <v>1</v>
      </c>
      <c r="BR50" s="157">
        <f t="shared" si="66"/>
        <v>0</v>
      </c>
      <c r="BS50" s="157">
        <f t="shared" si="67"/>
        <v>0</v>
      </c>
      <c r="BT50" s="157">
        <f t="shared" si="68"/>
        <v>0</v>
      </c>
      <c r="BU50" s="157">
        <f t="shared" si="69"/>
        <v>0</v>
      </c>
      <c r="BV50" s="273"/>
      <c r="BW50" s="206"/>
      <c r="CA50" s="206"/>
    </row>
    <row r="51" s="9" customFormat="1" ht="20.25" customHeight="1" spans="1:74">
      <c r="A51" s="23"/>
      <c r="B51" s="557" t="str">
        <f>"灵山县（"&amp;SUBTOTAL(3,C52:C61)&amp;"个）"</f>
        <v>灵山县（10个）</v>
      </c>
      <c r="C51" s="551"/>
      <c r="D51" s="554"/>
      <c r="E51" s="551"/>
      <c r="F51" s="134">
        <f t="shared" ref="F51:M51" si="70">SUBTOTAL(9,F52:F61)</f>
        <v>679820</v>
      </c>
      <c r="G51" s="134"/>
      <c r="H51" s="134"/>
      <c r="I51" s="134">
        <f t="shared" si="70"/>
        <v>1000</v>
      </c>
      <c r="J51" s="134">
        <f t="shared" si="70"/>
        <v>13200</v>
      </c>
      <c r="K51" s="134">
        <f t="shared" si="70"/>
        <v>25400</v>
      </c>
      <c r="L51" s="134">
        <f t="shared" si="70"/>
        <v>57350</v>
      </c>
      <c r="M51" s="134">
        <f t="shared" si="70"/>
        <v>0</v>
      </c>
      <c r="N51" s="591"/>
      <c r="O51" s="134">
        <f>SUBTOTAL(9,O77:O77)</f>
        <v>0</v>
      </c>
      <c r="P51" s="134">
        <f>SUBTOTAL(9,P77:P77)</f>
        <v>0</v>
      </c>
      <c r="Q51" s="134"/>
      <c r="R51" s="134"/>
      <c r="S51" s="134"/>
      <c r="T51" s="134"/>
      <c r="U51" s="134"/>
      <c r="V51" s="134"/>
      <c r="W51" s="134"/>
      <c r="X51" s="90"/>
      <c r="Y51" s="90"/>
      <c r="Z51" s="132"/>
      <c r="AA51" s="132"/>
      <c r="AB51" s="132"/>
      <c r="AC51" s="132"/>
      <c r="AD51" s="132"/>
      <c r="AE51" s="132"/>
      <c r="AF51" s="132"/>
      <c r="AG51" s="132"/>
      <c r="AH51" s="132"/>
      <c r="AI51" s="132"/>
      <c r="AJ51" s="132"/>
      <c r="AK51" s="132"/>
      <c r="AL51" s="132"/>
      <c r="AM51" s="132"/>
      <c r="AN51" s="132"/>
      <c r="AO51" s="132"/>
      <c r="AP51" s="132"/>
      <c r="AQ51" s="90"/>
      <c r="AR51" s="112"/>
      <c r="AS51" s="591"/>
      <c r="AT51" s="134"/>
      <c r="AU51" s="134"/>
      <c r="AV51" s="93"/>
      <c r="AW51" s="165"/>
      <c r="AX51" s="158"/>
      <c r="AY51" s="158"/>
      <c r="AZ51" s="158"/>
      <c r="BA51" s="158"/>
      <c r="BB51" s="169"/>
      <c r="BC51" s="165"/>
      <c r="BD51" s="165"/>
      <c r="BE51" s="165"/>
      <c r="BF51" s="169"/>
      <c r="BG51" s="169"/>
      <c r="BH51" s="169"/>
      <c r="BI51" s="183"/>
      <c r="BJ51" s="165"/>
      <c r="BK51" s="157"/>
      <c r="BL51" s="157"/>
      <c r="BN51" s="201"/>
      <c r="BO51" s="7"/>
      <c r="BP51" s="157"/>
      <c r="BQ51" s="157"/>
      <c r="BR51" s="157"/>
      <c r="BS51" s="157"/>
      <c r="BT51" s="157"/>
      <c r="BU51" s="157"/>
      <c r="BV51" s="183"/>
    </row>
    <row r="52" s="6" customFormat="1" ht="117" customHeight="1" spans="1:79">
      <c r="A52" s="23">
        <f>SUBTOTAL(3,C$10:C52)</f>
        <v>37</v>
      </c>
      <c r="B52" s="55" t="s">
        <v>1935</v>
      </c>
      <c r="C52" s="35" t="s">
        <v>79</v>
      </c>
      <c r="D52" s="55" t="s">
        <v>261</v>
      </c>
      <c r="E52" s="35" t="s">
        <v>262</v>
      </c>
      <c r="F52" s="36">
        <v>420000</v>
      </c>
      <c r="G52" s="36"/>
      <c r="H52" s="81" t="s">
        <v>263</v>
      </c>
      <c r="I52" s="730"/>
      <c r="J52" s="37">
        <v>6000</v>
      </c>
      <c r="K52" s="37">
        <v>10000</v>
      </c>
      <c r="L52" s="36">
        <v>15000</v>
      </c>
      <c r="M52" s="36"/>
      <c r="N52" s="112" t="s">
        <v>264</v>
      </c>
      <c r="O52" s="56"/>
      <c r="P52" s="127"/>
      <c r="Q52" s="115" t="s">
        <v>115</v>
      </c>
      <c r="R52" s="115" t="s">
        <v>115</v>
      </c>
      <c r="S52" s="115"/>
      <c r="T52" s="115"/>
      <c r="U52" s="115"/>
      <c r="V52" s="115"/>
      <c r="W52" s="115"/>
      <c r="X52" s="90" t="s">
        <v>265</v>
      </c>
      <c r="Y52" s="90" t="s">
        <v>266</v>
      </c>
      <c r="Z52" s="132">
        <v>2000</v>
      </c>
      <c r="AA52" s="132"/>
      <c r="AB52" s="132">
        <v>2000</v>
      </c>
      <c r="AC52" s="132"/>
      <c r="AD52" s="132"/>
      <c r="AE52" s="132"/>
      <c r="AF52" s="132"/>
      <c r="AG52" s="132"/>
      <c r="AH52" s="132"/>
      <c r="AI52" s="132">
        <v>687</v>
      </c>
      <c r="AJ52" s="132"/>
      <c r="AK52" s="132">
        <v>687</v>
      </c>
      <c r="AL52" s="132"/>
      <c r="AM52" s="132"/>
      <c r="AN52" s="132"/>
      <c r="AO52" s="132"/>
      <c r="AP52" s="132"/>
      <c r="AQ52" s="90"/>
      <c r="AR52" s="112" t="s">
        <v>267</v>
      </c>
      <c r="AS52" s="34" t="s">
        <v>268</v>
      </c>
      <c r="AT52" s="35" t="s">
        <v>1936</v>
      </c>
      <c r="AU52" s="35" t="s">
        <v>269</v>
      </c>
      <c r="AV52" s="171"/>
      <c r="AW52" s="157"/>
      <c r="AX52" s="158" t="s">
        <v>270</v>
      </c>
      <c r="AY52" s="158" t="s">
        <v>91</v>
      </c>
      <c r="AZ52" s="158" t="str">
        <f t="shared" ref="AZ52:AZ61" si="71">AY52&amp;AX52</f>
        <v>工业灵山县</v>
      </c>
      <c r="BA52" s="158" t="str">
        <f>AY52</f>
        <v>工业</v>
      </c>
      <c r="BB52" s="167"/>
      <c r="BC52" s="160"/>
      <c r="BD52" s="157"/>
      <c r="BE52" s="157"/>
      <c r="BF52" s="157"/>
      <c r="BG52" s="157"/>
      <c r="BH52" s="157"/>
      <c r="BI52" s="157"/>
      <c r="BJ52" s="157" t="str">
        <f t="shared" ref="BJ52:BJ61" si="72">AU52&amp;H52</f>
        <v>灵山县人民政府7月</v>
      </c>
      <c r="BK52" s="157" t="s">
        <v>92</v>
      </c>
      <c r="BL52" s="157" t="s">
        <v>93</v>
      </c>
      <c r="BM52" s="201" t="str">
        <f t="shared" ref="BM52:BM61" si="73">BK52&amp;AU52</f>
        <v>企业灵山县人民政府</v>
      </c>
      <c r="BN52" s="201" t="str">
        <f t="shared" ref="BN52:BN61" si="74">BL52&amp;AU52</f>
        <v>产业灵山县人民政府</v>
      </c>
      <c r="BO52" s="201">
        <f t="shared" ref="BO52:BO61" si="75">IF(O52&gt;0,1,0)</f>
        <v>0</v>
      </c>
      <c r="BP52" s="157"/>
      <c r="BQ52" s="157">
        <f t="shared" ref="BQ52:BQ61" si="76">IF(Z52&gt;0,1,0)</f>
        <v>1</v>
      </c>
      <c r="BR52" s="157">
        <f t="shared" ref="BR52:BR61" si="77">IF(AF52&gt;0,1,0)</f>
        <v>0</v>
      </c>
      <c r="BS52" s="157">
        <f t="shared" ref="BS52:BS61" si="78">IF(AC52&gt;0,1,0)</f>
        <v>0</v>
      </c>
      <c r="BT52" s="157">
        <f t="shared" ref="BT52:BT61" si="79">IF(AI52&gt;0,1,0)</f>
        <v>1</v>
      </c>
      <c r="BU52" s="157">
        <f t="shared" ref="BU52:BU61" si="80">IF(AL52&gt;0,1,0)</f>
        <v>0</v>
      </c>
      <c r="BV52" s="157"/>
      <c r="BW52" s="206"/>
      <c r="BX52" s="6" t="s">
        <v>1937</v>
      </c>
      <c r="BZ52" s="7" t="s">
        <v>1890</v>
      </c>
      <c r="CA52" s="229"/>
    </row>
    <row r="53" s="6" customFormat="1" ht="78" customHeight="1" spans="1:79">
      <c r="A53" s="23">
        <f>SUBTOTAL(3,C$10:C53)</f>
        <v>38</v>
      </c>
      <c r="B53" s="88" t="s">
        <v>271</v>
      </c>
      <c r="C53" s="23" t="s">
        <v>79</v>
      </c>
      <c r="D53" s="88" t="s">
        <v>272</v>
      </c>
      <c r="E53" s="35" t="s">
        <v>81</v>
      </c>
      <c r="F53" s="36">
        <v>105000</v>
      </c>
      <c r="G53" s="36"/>
      <c r="H53" s="81" t="s">
        <v>263</v>
      </c>
      <c r="I53" s="67"/>
      <c r="J53" s="761">
        <v>3500</v>
      </c>
      <c r="K53" s="761">
        <v>7000</v>
      </c>
      <c r="L53" s="257">
        <v>12000</v>
      </c>
      <c r="M53" s="257"/>
      <c r="N53" s="112" t="s">
        <v>273</v>
      </c>
      <c r="O53" s="56"/>
      <c r="P53" s="127"/>
      <c r="Q53" s="115"/>
      <c r="R53" s="115"/>
      <c r="S53" s="115"/>
      <c r="T53" s="115"/>
      <c r="U53" s="115"/>
      <c r="V53" s="115"/>
      <c r="W53" s="115"/>
      <c r="X53" s="90"/>
      <c r="Y53" s="90"/>
      <c r="Z53" s="132">
        <v>2000</v>
      </c>
      <c r="AA53" s="132"/>
      <c r="AB53" s="132">
        <v>2000</v>
      </c>
      <c r="AC53" s="132"/>
      <c r="AD53" s="132"/>
      <c r="AE53" s="132"/>
      <c r="AF53" s="132"/>
      <c r="AG53" s="132"/>
      <c r="AH53" s="132"/>
      <c r="AI53" s="132">
        <v>687</v>
      </c>
      <c r="AJ53" s="132"/>
      <c r="AK53" s="132">
        <v>687</v>
      </c>
      <c r="AL53" s="132"/>
      <c r="AM53" s="132"/>
      <c r="AN53" s="132"/>
      <c r="AO53" s="132"/>
      <c r="AP53" s="132"/>
      <c r="AQ53" s="90"/>
      <c r="AR53" s="66" t="s">
        <v>117</v>
      </c>
      <c r="AS53" s="66" t="s">
        <v>274</v>
      </c>
      <c r="AT53" s="23" t="s">
        <v>1938</v>
      </c>
      <c r="AU53" s="35" t="s">
        <v>269</v>
      </c>
      <c r="AV53" s="171"/>
      <c r="AW53" s="157"/>
      <c r="AX53" s="158" t="s">
        <v>270</v>
      </c>
      <c r="AY53" s="158" t="s">
        <v>91</v>
      </c>
      <c r="AZ53" s="158" t="str">
        <f t="shared" si="71"/>
        <v>工业灵山县</v>
      </c>
      <c r="BA53" s="158" t="str">
        <f t="shared" si="4"/>
        <v>工业</v>
      </c>
      <c r="BB53" s="167"/>
      <c r="BC53" s="160"/>
      <c r="BD53" s="157"/>
      <c r="BE53" s="157"/>
      <c r="BF53" s="157"/>
      <c r="BG53" s="157"/>
      <c r="BH53" s="157"/>
      <c r="BI53" s="157"/>
      <c r="BJ53" s="157" t="str">
        <f t="shared" si="72"/>
        <v>灵山县人民政府7月</v>
      </c>
      <c r="BK53" s="157" t="s">
        <v>92</v>
      </c>
      <c r="BL53" s="157" t="s">
        <v>93</v>
      </c>
      <c r="BM53" s="201" t="str">
        <f t="shared" si="73"/>
        <v>企业灵山县人民政府</v>
      </c>
      <c r="BN53" s="201" t="str">
        <f t="shared" si="74"/>
        <v>产业灵山县人民政府</v>
      </c>
      <c r="BO53" s="201">
        <f t="shared" si="75"/>
        <v>0</v>
      </c>
      <c r="BP53" s="157"/>
      <c r="BQ53" s="157">
        <f t="shared" si="76"/>
        <v>1</v>
      </c>
      <c r="BR53" s="157">
        <f t="shared" si="77"/>
        <v>0</v>
      </c>
      <c r="BS53" s="157">
        <f t="shared" si="78"/>
        <v>0</v>
      </c>
      <c r="BT53" s="157">
        <f t="shared" si="79"/>
        <v>1</v>
      </c>
      <c r="BU53" s="157">
        <f t="shared" si="80"/>
        <v>0</v>
      </c>
      <c r="BV53" s="157"/>
      <c r="BW53" s="206"/>
      <c r="BX53" s="6" t="s">
        <v>1937</v>
      </c>
      <c r="BZ53" s="7" t="s">
        <v>1890</v>
      </c>
      <c r="CA53" s="229"/>
    </row>
    <row r="54" s="6" customFormat="1" ht="73.5" customHeight="1" spans="1:79">
      <c r="A54" s="23">
        <f>SUBTOTAL(3,C$10:C54)</f>
        <v>39</v>
      </c>
      <c r="B54" s="55" t="s">
        <v>275</v>
      </c>
      <c r="C54" s="35" t="s">
        <v>79</v>
      </c>
      <c r="D54" s="55" t="s">
        <v>276</v>
      </c>
      <c r="E54" s="35" t="s">
        <v>143</v>
      </c>
      <c r="F54" s="35">
        <v>60000</v>
      </c>
      <c r="G54" s="35"/>
      <c r="H54" s="81" t="s">
        <v>177</v>
      </c>
      <c r="I54" s="37">
        <v>1000</v>
      </c>
      <c r="J54" s="37">
        <v>3200</v>
      </c>
      <c r="K54" s="37">
        <v>6400</v>
      </c>
      <c r="L54" s="36">
        <v>8000</v>
      </c>
      <c r="M54" s="36"/>
      <c r="N54" s="112" t="s">
        <v>277</v>
      </c>
      <c r="O54" s="56"/>
      <c r="P54" s="127"/>
      <c r="Q54" s="115" t="s">
        <v>115</v>
      </c>
      <c r="R54" s="115" t="s">
        <v>115</v>
      </c>
      <c r="S54" s="115" t="s">
        <v>115</v>
      </c>
      <c r="T54" s="115" t="s">
        <v>115</v>
      </c>
      <c r="U54" s="115" t="s">
        <v>115</v>
      </c>
      <c r="V54" s="115"/>
      <c r="W54" s="115"/>
      <c r="X54" s="55" t="s">
        <v>278</v>
      </c>
      <c r="Y54" s="90" t="s">
        <v>279</v>
      </c>
      <c r="Z54" s="132">
        <v>200</v>
      </c>
      <c r="AA54" s="132">
        <v>191</v>
      </c>
      <c r="AB54" s="132">
        <v>9</v>
      </c>
      <c r="AC54" s="132"/>
      <c r="AD54" s="132"/>
      <c r="AE54" s="132"/>
      <c r="AF54" s="132"/>
      <c r="AG54" s="132"/>
      <c r="AH54" s="132"/>
      <c r="AI54" s="132"/>
      <c r="AJ54" s="132"/>
      <c r="AK54" s="132"/>
      <c r="AL54" s="132"/>
      <c r="AM54" s="132"/>
      <c r="AN54" s="132"/>
      <c r="AO54" s="132"/>
      <c r="AP54" s="132"/>
      <c r="AQ54" s="90"/>
      <c r="AR54" s="112" t="s">
        <v>117</v>
      </c>
      <c r="AS54" s="34" t="s">
        <v>280</v>
      </c>
      <c r="AT54" s="35" t="s">
        <v>1939</v>
      </c>
      <c r="AU54" s="35" t="s">
        <v>269</v>
      </c>
      <c r="AV54" s="171"/>
      <c r="AW54" s="157"/>
      <c r="AX54" s="158" t="s">
        <v>270</v>
      </c>
      <c r="AY54" s="158" t="s">
        <v>91</v>
      </c>
      <c r="AZ54" s="158" t="str">
        <f t="shared" si="71"/>
        <v>工业灵山县</v>
      </c>
      <c r="BA54" s="158" t="str">
        <f t="shared" ref="BA54:BA61" si="81">AY54</f>
        <v>工业</v>
      </c>
      <c r="BB54" s="167"/>
      <c r="BC54" s="160"/>
      <c r="BD54" s="157"/>
      <c r="BE54" s="157"/>
      <c r="BF54" s="157"/>
      <c r="BG54" s="157"/>
      <c r="BH54" s="157"/>
      <c r="BI54" s="157"/>
      <c r="BJ54" s="157" t="str">
        <f t="shared" si="72"/>
        <v>灵山县人民政府4月</v>
      </c>
      <c r="BK54" s="157" t="s">
        <v>92</v>
      </c>
      <c r="BL54" s="157" t="s">
        <v>93</v>
      </c>
      <c r="BM54" s="201" t="str">
        <f t="shared" si="73"/>
        <v>企业灵山县人民政府</v>
      </c>
      <c r="BN54" s="201" t="str">
        <f t="shared" si="74"/>
        <v>产业灵山县人民政府</v>
      </c>
      <c r="BO54" s="201">
        <f t="shared" si="75"/>
        <v>0</v>
      </c>
      <c r="BP54" s="157"/>
      <c r="BQ54" s="157">
        <f t="shared" si="76"/>
        <v>1</v>
      </c>
      <c r="BR54" s="157">
        <f t="shared" si="77"/>
        <v>0</v>
      </c>
      <c r="BS54" s="157">
        <f t="shared" si="78"/>
        <v>0</v>
      </c>
      <c r="BT54" s="157">
        <f t="shared" si="79"/>
        <v>0</v>
      </c>
      <c r="BU54" s="157">
        <f t="shared" si="80"/>
        <v>0</v>
      </c>
      <c r="BV54" s="157"/>
      <c r="BW54" s="206"/>
      <c r="BX54" s="6" t="s">
        <v>1895</v>
      </c>
      <c r="BZ54" s="228"/>
      <c r="CA54" s="229"/>
    </row>
    <row r="55" s="6" customFormat="1" ht="73.5" customHeight="1" spans="1:79">
      <c r="A55" s="23">
        <f>SUBTOTAL(3,C$10:C55)</f>
        <v>40</v>
      </c>
      <c r="B55" s="55" t="s">
        <v>281</v>
      </c>
      <c r="C55" s="35" t="s">
        <v>79</v>
      </c>
      <c r="D55" s="55" t="s">
        <v>282</v>
      </c>
      <c r="E55" s="35" t="s">
        <v>112</v>
      </c>
      <c r="F55" s="36">
        <v>30600</v>
      </c>
      <c r="G55" s="36"/>
      <c r="H55" s="83" t="s">
        <v>283</v>
      </c>
      <c r="I55" s="578"/>
      <c r="J55" s="578"/>
      <c r="K55" s="578"/>
      <c r="L55" s="36">
        <v>3000</v>
      </c>
      <c r="M55" s="36"/>
      <c r="N55" s="112" t="s">
        <v>284</v>
      </c>
      <c r="O55" s="56"/>
      <c r="P55" s="127"/>
      <c r="Q55" s="115"/>
      <c r="R55" s="115"/>
      <c r="S55" s="115"/>
      <c r="T55" s="115"/>
      <c r="U55" s="115"/>
      <c r="V55" s="115"/>
      <c r="W55" s="115"/>
      <c r="X55" s="55"/>
      <c r="Y55" s="90"/>
      <c r="Z55" s="132"/>
      <c r="AA55" s="132"/>
      <c r="AB55" s="132"/>
      <c r="AC55" s="132"/>
      <c r="AD55" s="132"/>
      <c r="AE55" s="132"/>
      <c r="AF55" s="132"/>
      <c r="AG55" s="132"/>
      <c r="AH55" s="132"/>
      <c r="AI55" s="132"/>
      <c r="AJ55" s="132"/>
      <c r="AK55" s="132"/>
      <c r="AL55" s="132"/>
      <c r="AM55" s="132"/>
      <c r="AN55" s="132"/>
      <c r="AO55" s="132"/>
      <c r="AP55" s="132"/>
      <c r="AQ55" s="90"/>
      <c r="AR55" s="112" t="s">
        <v>1940</v>
      </c>
      <c r="AS55" s="34" t="s">
        <v>1941</v>
      </c>
      <c r="AT55" s="35" t="s">
        <v>1942</v>
      </c>
      <c r="AU55" s="35" t="s">
        <v>269</v>
      </c>
      <c r="AV55" s="171"/>
      <c r="AW55" s="157"/>
      <c r="AX55" s="158" t="s">
        <v>270</v>
      </c>
      <c r="AY55" s="158" t="s">
        <v>91</v>
      </c>
      <c r="AZ55" s="158" t="str">
        <f t="shared" si="71"/>
        <v>工业灵山县</v>
      </c>
      <c r="BA55" s="158" t="str">
        <f t="shared" si="81"/>
        <v>工业</v>
      </c>
      <c r="BB55" s="167"/>
      <c r="BC55" s="160"/>
      <c r="BD55" s="157"/>
      <c r="BE55" s="157"/>
      <c r="BF55" s="157"/>
      <c r="BG55" s="157"/>
      <c r="BH55" s="157"/>
      <c r="BI55" s="157"/>
      <c r="BJ55" s="157" t="str">
        <f t="shared" si="72"/>
        <v>灵山县人民政府11月</v>
      </c>
      <c r="BK55" s="157" t="s">
        <v>92</v>
      </c>
      <c r="BL55" s="157" t="s">
        <v>93</v>
      </c>
      <c r="BM55" s="201" t="str">
        <f t="shared" si="73"/>
        <v>企业灵山县人民政府</v>
      </c>
      <c r="BN55" s="201" t="str">
        <f t="shared" si="74"/>
        <v>产业灵山县人民政府</v>
      </c>
      <c r="BO55" s="201">
        <f t="shared" si="75"/>
        <v>0</v>
      </c>
      <c r="BP55" s="157"/>
      <c r="BQ55" s="157">
        <f t="shared" si="76"/>
        <v>0</v>
      </c>
      <c r="BR55" s="157">
        <f t="shared" si="77"/>
        <v>0</v>
      </c>
      <c r="BS55" s="157">
        <f t="shared" si="78"/>
        <v>0</v>
      </c>
      <c r="BT55" s="157">
        <f t="shared" si="79"/>
        <v>0</v>
      </c>
      <c r="BU55" s="157">
        <f t="shared" si="80"/>
        <v>0</v>
      </c>
      <c r="BV55" s="157"/>
      <c r="BW55" s="206"/>
      <c r="BX55" s="6" t="s">
        <v>1895</v>
      </c>
      <c r="BZ55" s="228"/>
      <c r="CA55" s="229"/>
    </row>
    <row r="56" s="6" customFormat="1" ht="73.5" customHeight="1" spans="1:79">
      <c r="A56" s="23">
        <f>SUBTOTAL(3,C$10:C56)</f>
        <v>41</v>
      </c>
      <c r="B56" s="55" t="s">
        <v>286</v>
      </c>
      <c r="C56" s="35" t="s">
        <v>79</v>
      </c>
      <c r="D56" s="55" t="s">
        <v>1943</v>
      </c>
      <c r="E56" s="35" t="s">
        <v>112</v>
      </c>
      <c r="F56" s="36">
        <v>33000</v>
      </c>
      <c r="G56" s="36"/>
      <c r="H56" s="83" t="s">
        <v>283</v>
      </c>
      <c r="I56" s="578"/>
      <c r="J56" s="578"/>
      <c r="K56" s="578"/>
      <c r="L56" s="36">
        <v>8000</v>
      </c>
      <c r="M56" s="36"/>
      <c r="N56" s="112" t="s">
        <v>284</v>
      </c>
      <c r="O56" s="56"/>
      <c r="P56" s="127"/>
      <c r="Q56" s="115"/>
      <c r="R56" s="115"/>
      <c r="S56" s="115"/>
      <c r="T56" s="115"/>
      <c r="U56" s="115"/>
      <c r="V56" s="115"/>
      <c r="W56" s="115"/>
      <c r="X56" s="55"/>
      <c r="Y56" s="90"/>
      <c r="Z56" s="132"/>
      <c r="AA56" s="132"/>
      <c r="AB56" s="132"/>
      <c r="AC56" s="132"/>
      <c r="AD56" s="132"/>
      <c r="AE56" s="132"/>
      <c r="AF56" s="132"/>
      <c r="AG56" s="132"/>
      <c r="AH56" s="132"/>
      <c r="AI56" s="132"/>
      <c r="AJ56" s="132"/>
      <c r="AK56" s="132"/>
      <c r="AL56" s="132"/>
      <c r="AM56" s="132"/>
      <c r="AN56" s="132"/>
      <c r="AO56" s="132"/>
      <c r="AP56" s="132"/>
      <c r="AQ56" s="90"/>
      <c r="AR56" s="112" t="s">
        <v>288</v>
      </c>
      <c r="AS56" s="34" t="s">
        <v>289</v>
      </c>
      <c r="AT56" s="35" t="s">
        <v>1944</v>
      </c>
      <c r="AU56" s="35" t="s">
        <v>269</v>
      </c>
      <c r="AV56" s="171"/>
      <c r="AW56" s="157"/>
      <c r="AX56" s="158" t="s">
        <v>270</v>
      </c>
      <c r="AY56" s="158" t="s">
        <v>91</v>
      </c>
      <c r="AZ56" s="158" t="str">
        <f t="shared" si="71"/>
        <v>工业灵山县</v>
      </c>
      <c r="BA56" s="158" t="str">
        <f t="shared" si="81"/>
        <v>工业</v>
      </c>
      <c r="BB56" s="167"/>
      <c r="BC56" s="160"/>
      <c r="BD56" s="157"/>
      <c r="BE56" s="157"/>
      <c r="BF56" s="157"/>
      <c r="BG56" s="157"/>
      <c r="BH56" s="157"/>
      <c r="BI56" s="157"/>
      <c r="BJ56" s="157" t="str">
        <f t="shared" si="72"/>
        <v>灵山县人民政府11月</v>
      </c>
      <c r="BK56" s="157" t="s">
        <v>92</v>
      </c>
      <c r="BL56" s="157" t="s">
        <v>93</v>
      </c>
      <c r="BM56" s="201" t="str">
        <f t="shared" si="73"/>
        <v>企业灵山县人民政府</v>
      </c>
      <c r="BN56" s="201" t="str">
        <f t="shared" si="74"/>
        <v>产业灵山县人民政府</v>
      </c>
      <c r="BO56" s="201">
        <f t="shared" si="75"/>
        <v>0</v>
      </c>
      <c r="BP56" s="157"/>
      <c r="BQ56" s="157">
        <f t="shared" si="76"/>
        <v>0</v>
      </c>
      <c r="BR56" s="157">
        <f t="shared" si="77"/>
        <v>0</v>
      </c>
      <c r="BS56" s="157">
        <f t="shared" si="78"/>
        <v>0</v>
      </c>
      <c r="BT56" s="157">
        <f t="shared" si="79"/>
        <v>0</v>
      </c>
      <c r="BU56" s="157">
        <f t="shared" si="80"/>
        <v>0</v>
      </c>
      <c r="BV56" s="157"/>
      <c r="BW56" s="206"/>
      <c r="BX56" s="6" t="s">
        <v>1895</v>
      </c>
      <c r="BZ56" s="228"/>
      <c r="CA56" s="229"/>
    </row>
    <row r="57" s="6" customFormat="1" ht="73.5" customHeight="1" spans="1:79">
      <c r="A57" s="23">
        <f>SUBTOTAL(3,C$10:C57)</f>
        <v>42</v>
      </c>
      <c r="B57" s="55" t="s">
        <v>290</v>
      </c>
      <c r="C57" s="35" t="s">
        <v>79</v>
      </c>
      <c r="D57" s="55" t="s">
        <v>291</v>
      </c>
      <c r="E57" s="35" t="s">
        <v>112</v>
      </c>
      <c r="F57" s="36">
        <v>10000</v>
      </c>
      <c r="G57" s="36"/>
      <c r="H57" s="83" t="s">
        <v>82</v>
      </c>
      <c r="I57" s="578"/>
      <c r="J57" s="578"/>
      <c r="K57" s="578"/>
      <c r="L57" s="36">
        <v>2000</v>
      </c>
      <c r="M57" s="36"/>
      <c r="N57" s="112" t="s">
        <v>284</v>
      </c>
      <c r="O57" s="56"/>
      <c r="P57" s="127"/>
      <c r="Q57" s="115"/>
      <c r="R57" s="115"/>
      <c r="S57" s="115"/>
      <c r="T57" s="115"/>
      <c r="U57" s="115"/>
      <c r="V57" s="115"/>
      <c r="W57" s="115"/>
      <c r="X57" s="55"/>
      <c r="Y57" s="90"/>
      <c r="Z57" s="132"/>
      <c r="AA57" s="132"/>
      <c r="AB57" s="132"/>
      <c r="AC57" s="132"/>
      <c r="AD57" s="132"/>
      <c r="AE57" s="132"/>
      <c r="AF57" s="132"/>
      <c r="AG57" s="132"/>
      <c r="AH57" s="132"/>
      <c r="AI57" s="132"/>
      <c r="AJ57" s="132"/>
      <c r="AK57" s="132"/>
      <c r="AL57" s="132"/>
      <c r="AM57" s="132"/>
      <c r="AN57" s="132"/>
      <c r="AO57" s="132"/>
      <c r="AP57" s="132"/>
      <c r="AQ57" s="90"/>
      <c r="AR57" s="112" t="s">
        <v>117</v>
      </c>
      <c r="AS57" s="34" t="s">
        <v>285</v>
      </c>
      <c r="AT57" s="35" t="s">
        <v>1945</v>
      </c>
      <c r="AU57" s="35" t="s">
        <v>269</v>
      </c>
      <c r="AV57" s="171"/>
      <c r="AW57" s="157"/>
      <c r="AX57" s="158" t="s">
        <v>270</v>
      </c>
      <c r="AY57" s="158" t="s">
        <v>91</v>
      </c>
      <c r="AZ57" s="158" t="str">
        <f t="shared" si="71"/>
        <v>工业灵山县</v>
      </c>
      <c r="BA57" s="158" t="str">
        <f t="shared" si="81"/>
        <v>工业</v>
      </c>
      <c r="BB57" s="167"/>
      <c r="BC57" s="160"/>
      <c r="BD57" s="157"/>
      <c r="BE57" s="157"/>
      <c r="BF57" s="157"/>
      <c r="BG57" s="157"/>
      <c r="BH57" s="157"/>
      <c r="BI57" s="157"/>
      <c r="BJ57" s="157" t="str">
        <f t="shared" si="72"/>
        <v>灵山县人民政府10月</v>
      </c>
      <c r="BK57" s="157" t="s">
        <v>92</v>
      </c>
      <c r="BL57" s="157" t="s">
        <v>93</v>
      </c>
      <c r="BM57" s="201" t="str">
        <f t="shared" si="73"/>
        <v>企业灵山县人民政府</v>
      </c>
      <c r="BN57" s="201" t="str">
        <f t="shared" si="74"/>
        <v>产业灵山县人民政府</v>
      </c>
      <c r="BO57" s="201">
        <f t="shared" si="75"/>
        <v>0</v>
      </c>
      <c r="BP57" s="157"/>
      <c r="BQ57" s="157">
        <f t="shared" si="76"/>
        <v>0</v>
      </c>
      <c r="BR57" s="157">
        <f t="shared" si="77"/>
        <v>0</v>
      </c>
      <c r="BS57" s="157">
        <f t="shared" si="78"/>
        <v>0</v>
      </c>
      <c r="BT57" s="157">
        <f t="shared" si="79"/>
        <v>0</v>
      </c>
      <c r="BU57" s="157">
        <f t="shared" si="80"/>
        <v>0</v>
      </c>
      <c r="BV57" s="157"/>
      <c r="BW57" s="206"/>
      <c r="BX57" s="6" t="s">
        <v>1895</v>
      </c>
      <c r="BZ57" s="228"/>
      <c r="CA57" s="229"/>
    </row>
    <row r="58" s="6" customFormat="1" ht="73.5" customHeight="1" spans="1:79">
      <c r="A58" s="23">
        <f>SUBTOTAL(3,C$10:C58)</f>
        <v>43</v>
      </c>
      <c r="B58" s="55" t="s">
        <v>292</v>
      </c>
      <c r="C58" s="35" t="s">
        <v>79</v>
      </c>
      <c r="D58" s="55" t="s">
        <v>1946</v>
      </c>
      <c r="E58" s="35" t="s">
        <v>81</v>
      </c>
      <c r="F58" s="35">
        <v>10000</v>
      </c>
      <c r="G58" s="35"/>
      <c r="H58" s="81" t="s">
        <v>122</v>
      </c>
      <c r="I58" s="37"/>
      <c r="J58" s="37">
        <v>500</v>
      </c>
      <c r="K58" s="37">
        <v>2000</v>
      </c>
      <c r="L58" s="36">
        <v>4000</v>
      </c>
      <c r="M58" s="36"/>
      <c r="N58" s="112" t="s">
        <v>1947</v>
      </c>
      <c r="O58" s="56"/>
      <c r="P58" s="127"/>
      <c r="Q58" s="115"/>
      <c r="R58" s="115"/>
      <c r="S58" s="115"/>
      <c r="T58" s="115"/>
      <c r="U58" s="115"/>
      <c r="V58" s="115"/>
      <c r="W58" s="115"/>
      <c r="X58" s="55"/>
      <c r="Y58" s="90"/>
      <c r="Z58" s="132"/>
      <c r="AA58" s="132"/>
      <c r="AB58" s="132"/>
      <c r="AC58" s="132"/>
      <c r="AD58" s="132"/>
      <c r="AE58" s="132"/>
      <c r="AF58" s="132"/>
      <c r="AG58" s="132"/>
      <c r="AH58" s="132"/>
      <c r="AI58" s="132"/>
      <c r="AJ58" s="132"/>
      <c r="AK58" s="132"/>
      <c r="AL58" s="132"/>
      <c r="AM58" s="132"/>
      <c r="AN58" s="132"/>
      <c r="AO58" s="132"/>
      <c r="AP58" s="132"/>
      <c r="AQ58" s="90"/>
      <c r="AR58" s="112" t="s">
        <v>295</v>
      </c>
      <c r="AS58" s="34" t="s">
        <v>296</v>
      </c>
      <c r="AT58" s="35" t="s">
        <v>1948</v>
      </c>
      <c r="AU58" s="34" t="s">
        <v>269</v>
      </c>
      <c r="AV58" s="171"/>
      <c r="AW58" s="157"/>
      <c r="AX58" s="158" t="s">
        <v>270</v>
      </c>
      <c r="AY58" s="158" t="s">
        <v>91</v>
      </c>
      <c r="AZ58" s="158" t="str">
        <f t="shared" si="71"/>
        <v>工业灵山县</v>
      </c>
      <c r="BA58" s="158" t="str">
        <f t="shared" si="81"/>
        <v>工业</v>
      </c>
      <c r="BB58" s="167"/>
      <c r="BC58" s="160"/>
      <c r="BD58" s="157"/>
      <c r="BE58" s="157"/>
      <c r="BF58" s="157"/>
      <c r="BG58" s="157"/>
      <c r="BH58" s="157"/>
      <c r="BI58" s="157"/>
      <c r="BJ58" s="157" t="str">
        <f t="shared" si="72"/>
        <v>灵山县人民政府6月</v>
      </c>
      <c r="BK58" s="157" t="s">
        <v>92</v>
      </c>
      <c r="BL58" s="157" t="s">
        <v>93</v>
      </c>
      <c r="BM58" s="201" t="str">
        <f t="shared" si="73"/>
        <v>企业灵山县人民政府</v>
      </c>
      <c r="BN58" s="201" t="str">
        <f t="shared" si="74"/>
        <v>产业灵山县人民政府</v>
      </c>
      <c r="BO58" s="201">
        <f t="shared" si="75"/>
        <v>0</v>
      </c>
      <c r="BP58" s="157"/>
      <c r="BQ58" s="157">
        <f t="shared" si="76"/>
        <v>0</v>
      </c>
      <c r="BR58" s="157">
        <f t="shared" si="77"/>
        <v>0</v>
      </c>
      <c r="BS58" s="157">
        <f t="shared" si="78"/>
        <v>0</v>
      </c>
      <c r="BT58" s="157">
        <f t="shared" si="79"/>
        <v>0</v>
      </c>
      <c r="BU58" s="157">
        <f t="shared" si="80"/>
        <v>0</v>
      </c>
      <c r="BV58" s="157"/>
      <c r="BW58" s="206"/>
      <c r="BX58" s="6" t="s">
        <v>1895</v>
      </c>
      <c r="BZ58" s="228"/>
      <c r="CA58" s="229"/>
    </row>
    <row r="59" s="6" customFormat="1" ht="73.5" customHeight="1" spans="1:79">
      <c r="A59" s="23">
        <f>SUBTOTAL(3,C$10:C59)</f>
        <v>44</v>
      </c>
      <c r="B59" s="55" t="s">
        <v>1949</v>
      </c>
      <c r="C59" s="35" t="s">
        <v>79</v>
      </c>
      <c r="D59" s="55" t="s">
        <v>1950</v>
      </c>
      <c r="E59" s="35" t="s">
        <v>1951</v>
      </c>
      <c r="F59" s="36">
        <v>6170</v>
      </c>
      <c r="G59" s="36"/>
      <c r="H59" s="83" t="s">
        <v>131</v>
      </c>
      <c r="I59" s="578"/>
      <c r="J59" s="578"/>
      <c r="K59" s="578"/>
      <c r="L59" s="36">
        <v>500</v>
      </c>
      <c r="M59" s="36"/>
      <c r="N59" s="112" t="s">
        <v>284</v>
      </c>
      <c r="O59" s="56"/>
      <c r="P59" s="127"/>
      <c r="Q59" s="115"/>
      <c r="R59" s="115"/>
      <c r="S59" s="115"/>
      <c r="T59" s="115"/>
      <c r="U59" s="115"/>
      <c r="V59" s="115"/>
      <c r="W59" s="115"/>
      <c r="X59" s="55"/>
      <c r="Y59" s="90"/>
      <c r="Z59" s="132"/>
      <c r="AA59" s="132"/>
      <c r="AB59" s="132"/>
      <c r="AC59" s="132"/>
      <c r="AD59" s="132"/>
      <c r="AE59" s="132"/>
      <c r="AF59" s="132"/>
      <c r="AG59" s="132"/>
      <c r="AH59" s="132"/>
      <c r="AI59" s="132"/>
      <c r="AJ59" s="132"/>
      <c r="AK59" s="132"/>
      <c r="AL59" s="132"/>
      <c r="AM59" s="132"/>
      <c r="AN59" s="132"/>
      <c r="AO59" s="132"/>
      <c r="AP59" s="132"/>
      <c r="AQ59" s="90"/>
      <c r="AR59" s="112" t="s">
        <v>117</v>
      </c>
      <c r="AS59" s="34" t="s">
        <v>1952</v>
      </c>
      <c r="AT59" s="35" t="s">
        <v>1953</v>
      </c>
      <c r="AU59" s="34" t="s">
        <v>269</v>
      </c>
      <c r="AV59" s="171"/>
      <c r="AW59" s="157"/>
      <c r="AX59" s="158" t="s">
        <v>270</v>
      </c>
      <c r="AY59" s="158" t="s">
        <v>91</v>
      </c>
      <c r="AZ59" s="158" t="str">
        <f t="shared" si="71"/>
        <v>工业灵山县</v>
      </c>
      <c r="BA59" s="158" t="str">
        <f t="shared" si="81"/>
        <v>工业</v>
      </c>
      <c r="BB59" s="167"/>
      <c r="BC59" s="160"/>
      <c r="BD59" s="157"/>
      <c r="BE59" s="157"/>
      <c r="BF59" s="157"/>
      <c r="BG59" s="157"/>
      <c r="BH59" s="157"/>
      <c r="BI59" s="157"/>
      <c r="BJ59" s="157" t="str">
        <f t="shared" si="72"/>
        <v>灵山县人民政府12月</v>
      </c>
      <c r="BK59" s="157" t="s">
        <v>92</v>
      </c>
      <c r="BL59" s="157" t="s">
        <v>93</v>
      </c>
      <c r="BM59" s="201" t="str">
        <f t="shared" si="73"/>
        <v>企业灵山县人民政府</v>
      </c>
      <c r="BN59" s="201" t="str">
        <f t="shared" si="74"/>
        <v>产业灵山县人民政府</v>
      </c>
      <c r="BO59" s="201">
        <f t="shared" si="75"/>
        <v>0</v>
      </c>
      <c r="BP59" s="157"/>
      <c r="BQ59" s="157">
        <f t="shared" si="76"/>
        <v>0</v>
      </c>
      <c r="BR59" s="157">
        <f t="shared" si="77"/>
        <v>0</v>
      </c>
      <c r="BS59" s="157">
        <f t="shared" si="78"/>
        <v>0</v>
      </c>
      <c r="BT59" s="157">
        <f t="shared" si="79"/>
        <v>0</v>
      </c>
      <c r="BU59" s="157">
        <f t="shared" si="80"/>
        <v>0</v>
      </c>
      <c r="BV59" s="157"/>
      <c r="BW59" s="206"/>
      <c r="BX59" s="6" t="s">
        <v>1895</v>
      </c>
      <c r="BZ59" s="228"/>
      <c r="CA59" s="229"/>
    </row>
    <row r="60" s="6" customFormat="1" ht="73.5" customHeight="1" spans="1:79">
      <c r="A60" s="23">
        <f>SUBTOTAL(3,C$10:C60)</f>
        <v>45</v>
      </c>
      <c r="B60" s="55" t="s">
        <v>300</v>
      </c>
      <c r="C60" s="35" t="s">
        <v>79</v>
      </c>
      <c r="D60" s="55" t="s">
        <v>1954</v>
      </c>
      <c r="E60" s="35" t="s">
        <v>112</v>
      </c>
      <c r="F60" s="36">
        <v>3050</v>
      </c>
      <c r="G60" s="36"/>
      <c r="H60" s="83" t="s">
        <v>82</v>
      </c>
      <c r="I60" s="578"/>
      <c r="J60" s="578"/>
      <c r="K60" s="578"/>
      <c r="L60" s="36">
        <v>2850</v>
      </c>
      <c r="M60" s="36"/>
      <c r="N60" s="58" t="s">
        <v>302</v>
      </c>
      <c r="O60" s="56"/>
      <c r="P60" s="127"/>
      <c r="Q60" s="115"/>
      <c r="R60" s="115"/>
      <c r="S60" s="115"/>
      <c r="T60" s="115"/>
      <c r="U60" s="115"/>
      <c r="V60" s="115"/>
      <c r="W60" s="115"/>
      <c r="X60" s="55"/>
      <c r="Y60" s="90"/>
      <c r="Z60" s="132"/>
      <c r="AA60" s="132"/>
      <c r="AB60" s="132"/>
      <c r="AC60" s="132"/>
      <c r="AD60" s="132"/>
      <c r="AE60" s="132"/>
      <c r="AF60" s="132"/>
      <c r="AG60" s="132"/>
      <c r="AH60" s="132"/>
      <c r="AI60" s="132"/>
      <c r="AJ60" s="132"/>
      <c r="AK60" s="132"/>
      <c r="AL60" s="132"/>
      <c r="AM60" s="132"/>
      <c r="AN60" s="132"/>
      <c r="AO60" s="132"/>
      <c r="AP60" s="132"/>
      <c r="AQ60" s="90"/>
      <c r="AR60" s="112" t="s">
        <v>303</v>
      </c>
      <c r="AS60" s="34" t="s">
        <v>304</v>
      </c>
      <c r="AT60" s="35" t="s">
        <v>1955</v>
      </c>
      <c r="AU60" s="34" t="s">
        <v>269</v>
      </c>
      <c r="AV60" s="171"/>
      <c r="AW60" s="157"/>
      <c r="AX60" s="158" t="s">
        <v>270</v>
      </c>
      <c r="AY60" s="158" t="s">
        <v>91</v>
      </c>
      <c r="AZ60" s="158" t="str">
        <f t="shared" si="71"/>
        <v>工业灵山县</v>
      </c>
      <c r="BA60" s="158" t="str">
        <f t="shared" si="81"/>
        <v>工业</v>
      </c>
      <c r="BB60" s="167"/>
      <c r="BC60" s="160"/>
      <c r="BD60" s="157"/>
      <c r="BE60" s="157"/>
      <c r="BF60" s="157"/>
      <c r="BG60" s="157"/>
      <c r="BH60" s="157"/>
      <c r="BI60" s="157"/>
      <c r="BJ60" s="157" t="str">
        <f t="shared" si="72"/>
        <v>灵山县人民政府10月</v>
      </c>
      <c r="BK60" s="157" t="s">
        <v>92</v>
      </c>
      <c r="BL60" s="157" t="s">
        <v>93</v>
      </c>
      <c r="BM60" s="201" t="str">
        <f t="shared" si="73"/>
        <v>企业灵山县人民政府</v>
      </c>
      <c r="BN60" s="201" t="str">
        <f t="shared" si="74"/>
        <v>产业灵山县人民政府</v>
      </c>
      <c r="BO60" s="201">
        <f t="shared" si="75"/>
        <v>0</v>
      </c>
      <c r="BP60" s="157"/>
      <c r="BQ60" s="157">
        <f t="shared" si="76"/>
        <v>0</v>
      </c>
      <c r="BR60" s="157">
        <f t="shared" si="77"/>
        <v>0</v>
      </c>
      <c r="BS60" s="157">
        <f t="shared" si="78"/>
        <v>0</v>
      </c>
      <c r="BT60" s="157">
        <f t="shared" si="79"/>
        <v>0</v>
      </c>
      <c r="BU60" s="157">
        <f t="shared" si="80"/>
        <v>0</v>
      </c>
      <c r="BV60" s="157"/>
      <c r="BW60" s="206"/>
      <c r="BX60" s="6" t="s">
        <v>1895</v>
      </c>
      <c r="BZ60" s="228"/>
      <c r="CA60" s="229"/>
    </row>
    <row r="61" s="6" customFormat="1" ht="73.5" customHeight="1" spans="1:79">
      <c r="A61" s="23">
        <f>SUBTOTAL(3,C$10:C61)</f>
        <v>46</v>
      </c>
      <c r="B61" s="55" t="s">
        <v>305</v>
      </c>
      <c r="C61" s="35" t="s">
        <v>79</v>
      </c>
      <c r="D61" s="55" t="s">
        <v>306</v>
      </c>
      <c r="E61" s="35">
        <v>2019</v>
      </c>
      <c r="F61" s="36">
        <v>2000</v>
      </c>
      <c r="G61" s="36"/>
      <c r="H61" s="81" t="s">
        <v>82</v>
      </c>
      <c r="I61" s="578"/>
      <c r="J61" s="578"/>
      <c r="K61" s="578"/>
      <c r="L61" s="36">
        <v>2000</v>
      </c>
      <c r="M61" s="36"/>
      <c r="N61" s="58" t="s">
        <v>307</v>
      </c>
      <c r="O61" s="56"/>
      <c r="P61" s="127"/>
      <c r="Q61" s="115"/>
      <c r="R61" s="115"/>
      <c r="S61" s="115"/>
      <c r="T61" s="115"/>
      <c r="U61" s="115"/>
      <c r="V61" s="115"/>
      <c r="W61" s="115"/>
      <c r="X61" s="55"/>
      <c r="Y61" s="90"/>
      <c r="Z61" s="132"/>
      <c r="AA61" s="132"/>
      <c r="AB61" s="132"/>
      <c r="AC61" s="132"/>
      <c r="AD61" s="132"/>
      <c r="AE61" s="132"/>
      <c r="AF61" s="132"/>
      <c r="AG61" s="132"/>
      <c r="AH61" s="132"/>
      <c r="AI61" s="132"/>
      <c r="AJ61" s="132"/>
      <c r="AK61" s="132"/>
      <c r="AL61" s="132"/>
      <c r="AM61" s="132"/>
      <c r="AN61" s="132"/>
      <c r="AO61" s="132"/>
      <c r="AP61" s="132"/>
      <c r="AQ61" s="90"/>
      <c r="AR61" s="112" t="s">
        <v>308</v>
      </c>
      <c r="AS61" s="34" t="s">
        <v>309</v>
      </c>
      <c r="AT61" s="35" t="s">
        <v>1956</v>
      </c>
      <c r="AU61" s="35" t="s">
        <v>269</v>
      </c>
      <c r="AV61" s="171"/>
      <c r="AW61" s="157"/>
      <c r="AX61" s="158" t="s">
        <v>270</v>
      </c>
      <c r="AY61" s="158" t="s">
        <v>91</v>
      </c>
      <c r="AZ61" s="158" t="str">
        <f t="shared" si="71"/>
        <v>工业灵山县</v>
      </c>
      <c r="BA61" s="158" t="str">
        <f t="shared" si="81"/>
        <v>工业</v>
      </c>
      <c r="BB61" s="167"/>
      <c r="BC61" s="160"/>
      <c r="BD61" s="157"/>
      <c r="BE61" s="157"/>
      <c r="BF61" s="157"/>
      <c r="BG61" s="157"/>
      <c r="BH61" s="157"/>
      <c r="BI61" s="157"/>
      <c r="BJ61" s="157" t="str">
        <f t="shared" si="72"/>
        <v>灵山县人民政府10月</v>
      </c>
      <c r="BK61" s="157" t="s">
        <v>92</v>
      </c>
      <c r="BL61" s="157" t="s">
        <v>93</v>
      </c>
      <c r="BM61" s="201" t="str">
        <f t="shared" si="73"/>
        <v>企业灵山县人民政府</v>
      </c>
      <c r="BN61" s="201" t="str">
        <f t="shared" si="74"/>
        <v>产业灵山县人民政府</v>
      </c>
      <c r="BO61" s="201">
        <f t="shared" si="75"/>
        <v>0</v>
      </c>
      <c r="BP61" s="157"/>
      <c r="BQ61" s="157">
        <f t="shared" si="76"/>
        <v>0</v>
      </c>
      <c r="BR61" s="157">
        <f t="shared" si="77"/>
        <v>0</v>
      </c>
      <c r="BS61" s="157">
        <f t="shared" si="78"/>
        <v>0</v>
      </c>
      <c r="BT61" s="157">
        <f t="shared" si="79"/>
        <v>0</v>
      </c>
      <c r="BU61" s="157">
        <f t="shared" si="80"/>
        <v>0</v>
      </c>
      <c r="BV61" s="157"/>
      <c r="BW61" s="206"/>
      <c r="BX61" s="6" t="s">
        <v>1895</v>
      </c>
      <c r="BZ61" s="228"/>
      <c r="CA61" s="229"/>
    </row>
    <row r="62" s="9" customFormat="1" ht="19.5" customHeight="1" spans="1:74">
      <c r="A62" s="23"/>
      <c r="B62" s="557" t="str">
        <f>"浦北县（"&amp;SUBTOTAL(3,C63:C70)&amp;"个）"</f>
        <v>浦北县（8个）</v>
      </c>
      <c r="C62" s="551"/>
      <c r="D62" s="554"/>
      <c r="E62" s="551"/>
      <c r="F62" s="134">
        <f t="shared" ref="F62:M62" si="82">SUBTOTAL(9,F63:F70)</f>
        <v>125275</v>
      </c>
      <c r="G62" s="134"/>
      <c r="H62" s="134"/>
      <c r="I62" s="134">
        <f t="shared" si="82"/>
        <v>1600</v>
      </c>
      <c r="J62" s="134">
        <f t="shared" si="82"/>
        <v>4300</v>
      </c>
      <c r="K62" s="134">
        <f t="shared" si="82"/>
        <v>10650</v>
      </c>
      <c r="L62" s="134">
        <f t="shared" si="82"/>
        <v>25500</v>
      </c>
      <c r="M62" s="134">
        <f t="shared" si="82"/>
        <v>0</v>
      </c>
      <c r="N62" s="591"/>
      <c r="O62" s="134"/>
      <c r="P62" s="134"/>
      <c r="Q62" s="134"/>
      <c r="R62" s="134"/>
      <c r="S62" s="134"/>
      <c r="T62" s="134"/>
      <c r="U62" s="134"/>
      <c r="V62" s="134"/>
      <c r="W62" s="134"/>
      <c r="X62" s="90"/>
      <c r="Y62" s="90"/>
      <c r="Z62" s="132"/>
      <c r="AA62" s="132"/>
      <c r="AB62" s="132"/>
      <c r="AC62" s="132"/>
      <c r="AD62" s="132"/>
      <c r="AE62" s="132"/>
      <c r="AF62" s="132"/>
      <c r="AG62" s="132"/>
      <c r="AH62" s="132"/>
      <c r="AI62" s="132"/>
      <c r="AJ62" s="132"/>
      <c r="AK62" s="132"/>
      <c r="AL62" s="132"/>
      <c r="AM62" s="132"/>
      <c r="AN62" s="132"/>
      <c r="AO62" s="132"/>
      <c r="AP62" s="132"/>
      <c r="AQ62" s="90"/>
      <c r="AR62" s="112"/>
      <c r="AS62" s="591"/>
      <c r="AT62" s="134"/>
      <c r="AU62" s="134"/>
      <c r="AV62" s="93"/>
      <c r="AW62" s="165"/>
      <c r="AX62" s="158"/>
      <c r="AY62" s="158"/>
      <c r="AZ62" s="158"/>
      <c r="BA62" s="158"/>
      <c r="BB62" s="169"/>
      <c r="BC62" s="165"/>
      <c r="BD62" s="165"/>
      <c r="BE62" s="165"/>
      <c r="BF62" s="169"/>
      <c r="BG62" s="169"/>
      <c r="BH62" s="169"/>
      <c r="BI62" s="183"/>
      <c r="BJ62" s="165"/>
      <c r="BK62" s="157"/>
      <c r="BL62" s="157"/>
      <c r="BN62" s="201"/>
      <c r="BO62" s="7"/>
      <c r="BP62" s="157"/>
      <c r="BQ62" s="157"/>
      <c r="BR62" s="157"/>
      <c r="BS62" s="157"/>
      <c r="BT62" s="157"/>
      <c r="BU62" s="157"/>
      <c r="BV62" s="183"/>
    </row>
    <row r="63" ht="60.75" customHeight="1" spans="1:79">
      <c r="A63" s="23">
        <f>SUBTOTAL(3,C$10:C63)</f>
        <v>47</v>
      </c>
      <c r="B63" s="668" t="s">
        <v>310</v>
      </c>
      <c r="C63" s="35" t="s">
        <v>79</v>
      </c>
      <c r="D63" s="232" t="s">
        <v>311</v>
      </c>
      <c r="E63" s="35" t="s">
        <v>112</v>
      </c>
      <c r="F63" s="35">
        <v>20000</v>
      </c>
      <c r="G63" s="35"/>
      <c r="H63" s="83" t="s">
        <v>195</v>
      </c>
      <c r="I63" s="578">
        <v>1000</v>
      </c>
      <c r="J63" s="578">
        <v>2000</v>
      </c>
      <c r="K63" s="578">
        <v>3500</v>
      </c>
      <c r="L63" s="35">
        <v>8000</v>
      </c>
      <c r="M63" s="35"/>
      <c r="N63" s="762" t="s">
        <v>312</v>
      </c>
      <c r="O63" s="111"/>
      <c r="P63" s="67"/>
      <c r="Q63" s="134" t="s">
        <v>115</v>
      </c>
      <c r="R63" s="134" t="s">
        <v>115</v>
      </c>
      <c r="S63" s="134" t="s">
        <v>115</v>
      </c>
      <c r="T63" s="134"/>
      <c r="U63" s="134"/>
      <c r="V63" s="134" t="s">
        <v>115</v>
      </c>
      <c r="W63" s="134" t="s">
        <v>115</v>
      </c>
      <c r="X63" s="55" t="s">
        <v>313</v>
      </c>
      <c r="Y63" s="55" t="s">
        <v>314</v>
      </c>
      <c r="Z63" s="132">
        <v>100</v>
      </c>
      <c r="AA63" s="132">
        <v>100</v>
      </c>
      <c r="AB63" s="132"/>
      <c r="AC63" s="132"/>
      <c r="AD63" s="132"/>
      <c r="AE63" s="132"/>
      <c r="AF63" s="132"/>
      <c r="AG63" s="132"/>
      <c r="AH63" s="132"/>
      <c r="AI63" s="132"/>
      <c r="AJ63" s="132"/>
      <c r="AK63" s="132"/>
      <c r="AL63" s="132"/>
      <c r="AM63" s="132"/>
      <c r="AN63" s="132"/>
      <c r="AO63" s="132"/>
      <c r="AP63" s="132"/>
      <c r="AQ63" s="90"/>
      <c r="AR63" s="34" t="s">
        <v>315</v>
      </c>
      <c r="AS63" s="123" t="s">
        <v>316</v>
      </c>
      <c r="AT63" s="67" t="s">
        <v>1957</v>
      </c>
      <c r="AU63" s="35" t="s">
        <v>317</v>
      </c>
      <c r="AV63" s="93"/>
      <c r="AW63" s="157"/>
      <c r="AX63" s="158" t="s">
        <v>318</v>
      </c>
      <c r="AY63" s="158" t="s">
        <v>91</v>
      </c>
      <c r="AZ63" s="158" t="str">
        <f t="shared" ref="AZ63:AZ70" si="83">AY63&amp;AX63</f>
        <v>工业浦北县</v>
      </c>
      <c r="BA63" s="158" t="str">
        <f t="shared" si="4"/>
        <v>工业</v>
      </c>
      <c r="BB63" s="159"/>
      <c r="BC63" s="160"/>
      <c r="BD63" s="157"/>
      <c r="BE63" s="157"/>
      <c r="BF63" s="157"/>
      <c r="BG63" s="157"/>
      <c r="BH63" s="157"/>
      <c r="BI63" s="157"/>
      <c r="BJ63" s="157" t="str">
        <f t="shared" ref="BJ63:BJ70" si="84">AU63&amp;H63</f>
        <v>浦北县人民政府3月</v>
      </c>
      <c r="BK63" s="157" t="s">
        <v>92</v>
      </c>
      <c r="BL63" s="157" t="s">
        <v>93</v>
      </c>
      <c r="BM63" s="201" t="str">
        <f t="shared" ref="BM63:BM70" si="85">BK63&amp;AU63</f>
        <v>企业浦北县人民政府</v>
      </c>
      <c r="BN63" s="201" t="str">
        <f t="shared" ref="BN63:BN70" si="86">BL63&amp;AU63</f>
        <v>产业浦北县人民政府</v>
      </c>
      <c r="BO63" s="201">
        <f t="shared" ref="BO63:BO70" si="87">IF(O63&gt;0,1,0)</f>
        <v>0</v>
      </c>
      <c r="BP63" s="157"/>
      <c r="BQ63" s="157">
        <f t="shared" ref="BQ63:BQ70" si="88">IF(Z63&gt;0,1,0)</f>
        <v>1</v>
      </c>
      <c r="BR63" s="157">
        <f t="shared" ref="BR63:BR70" si="89">IF(AF63&gt;0,1,0)</f>
        <v>0</v>
      </c>
      <c r="BS63" s="157">
        <f t="shared" ref="BS63:BS70" si="90">IF(AC63&gt;0,1,0)</f>
        <v>0</v>
      </c>
      <c r="BT63" s="157">
        <f t="shared" ref="BT63:BT70" si="91">IF(AI63&gt;0,1,0)</f>
        <v>0</v>
      </c>
      <c r="BU63" s="157">
        <f t="shared" ref="BU63:BU70" si="92">IF(AL63&gt;0,1,0)</f>
        <v>0</v>
      </c>
      <c r="BV63" s="157"/>
      <c r="BW63" s="206"/>
      <c r="CA63" s="206"/>
    </row>
    <row r="64" ht="60.75" customHeight="1" spans="1:79">
      <c r="A64" s="23">
        <f>SUBTOTAL(3,C$10:C64)</f>
        <v>48</v>
      </c>
      <c r="B64" s="55" t="s">
        <v>319</v>
      </c>
      <c r="C64" s="35" t="s">
        <v>79</v>
      </c>
      <c r="D64" s="55" t="s">
        <v>320</v>
      </c>
      <c r="E64" s="35" t="s">
        <v>81</v>
      </c>
      <c r="F64" s="36">
        <v>65000</v>
      </c>
      <c r="G64" s="36"/>
      <c r="H64" s="81" t="s">
        <v>209</v>
      </c>
      <c r="I64" s="81"/>
      <c r="J64" s="81"/>
      <c r="K64" s="37">
        <v>800</v>
      </c>
      <c r="L64" s="36">
        <v>3000</v>
      </c>
      <c r="M64" s="36"/>
      <c r="N64" s="112" t="s">
        <v>321</v>
      </c>
      <c r="O64" s="111"/>
      <c r="P64" s="67"/>
      <c r="Q64" s="134" t="s">
        <v>115</v>
      </c>
      <c r="R64" s="134" t="s">
        <v>115</v>
      </c>
      <c r="S64" s="134" t="s">
        <v>115</v>
      </c>
      <c r="T64" s="134"/>
      <c r="U64" s="134"/>
      <c r="V64" s="134"/>
      <c r="W64" s="134"/>
      <c r="X64" s="90" t="s">
        <v>322</v>
      </c>
      <c r="Y64" s="55" t="s">
        <v>117</v>
      </c>
      <c r="Z64" s="132">
        <v>110</v>
      </c>
      <c r="AA64" s="132"/>
      <c r="AB64" s="132">
        <v>110</v>
      </c>
      <c r="AC64" s="132"/>
      <c r="AD64" s="132"/>
      <c r="AE64" s="132"/>
      <c r="AF64" s="132"/>
      <c r="AG64" s="132"/>
      <c r="AH64" s="132"/>
      <c r="AI64" s="132"/>
      <c r="AJ64" s="132"/>
      <c r="AK64" s="132"/>
      <c r="AL64" s="132"/>
      <c r="AM64" s="132"/>
      <c r="AN64" s="132"/>
      <c r="AO64" s="132"/>
      <c r="AP64" s="132"/>
      <c r="AQ64" s="90"/>
      <c r="AR64" s="112" t="s">
        <v>323</v>
      </c>
      <c r="AS64" s="34" t="s">
        <v>324</v>
      </c>
      <c r="AT64" s="35" t="s">
        <v>1958</v>
      </c>
      <c r="AU64" s="35" t="s">
        <v>317</v>
      </c>
      <c r="AV64" s="93"/>
      <c r="AW64" s="157"/>
      <c r="AX64" s="158" t="s">
        <v>318</v>
      </c>
      <c r="AY64" s="158" t="s">
        <v>91</v>
      </c>
      <c r="AZ64" s="158" t="str">
        <f t="shared" si="83"/>
        <v>工业浦北县</v>
      </c>
      <c r="BA64" s="158" t="str">
        <f t="shared" si="4"/>
        <v>工业</v>
      </c>
      <c r="BB64" s="159"/>
      <c r="BC64" s="160"/>
      <c r="BD64" s="157"/>
      <c r="BE64" s="157"/>
      <c r="BF64" s="157"/>
      <c r="BG64" s="157"/>
      <c r="BH64" s="157"/>
      <c r="BI64" s="157"/>
      <c r="BJ64" s="157" t="str">
        <f t="shared" si="84"/>
        <v>浦北县人民政府8月</v>
      </c>
      <c r="BK64" s="157" t="s">
        <v>92</v>
      </c>
      <c r="BL64" s="157" t="s">
        <v>93</v>
      </c>
      <c r="BM64" s="201" t="str">
        <f t="shared" si="85"/>
        <v>企业浦北县人民政府</v>
      </c>
      <c r="BN64" s="201" t="str">
        <f t="shared" si="86"/>
        <v>产业浦北县人民政府</v>
      </c>
      <c r="BO64" s="201">
        <f t="shared" si="87"/>
        <v>0</v>
      </c>
      <c r="BP64" s="157"/>
      <c r="BQ64" s="157">
        <f t="shared" si="88"/>
        <v>1</v>
      </c>
      <c r="BR64" s="157">
        <f t="shared" si="89"/>
        <v>0</v>
      </c>
      <c r="BS64" s="157">
        <f t="shared" si="90"/>
        <v>0</v>
      </c>
      <c r="BT64" s="157">
        <f t="shared" si="91"/>
        <v>0</v>
      </c>
      <c r="BU64" s="157">
        <f t="shared" si="92"/>
        <v>0</v>
      </c>
      <c r="BV64" s="157"/>
      <c r="BW64" s="206"/>
      <c r="CA64" s="206"/>
    </row>
    <row r="65" ht="63" customHeight="1" spans="1:79">
      <c r="A65" s="23">
        <f>SUBTOTAL(3,C$10:C65)</f>
        <v>49</v>
      </c>
      <c r="B65" s="55" t="s">
        <v>325</v>
      </c>
      <c r="C65" s="35" t="s">
        <v>79</v>
      </c>
      <c r="D65" s="55" t="s">
        <v>326</v>
      </c>
      <c r="E65" s="35" t="s">
        <v>112</v>
      </c>
      <c r="F65" s="36">
        <v>10825</v>
      </c>
      <c r="G65" s="36"/>
      <c r="H65" s="81" t="s">
        <v>177</v>
      </c>
      <c r="I65" s="37">
        <v>500</v>
      </c>
      <c r="J65" s="37">
        <v>1100</v>
      </c>
      <c r="K65" s="37">
        <v>1900</v>
      </c>
      <c r="L65" s="36">
        <v>5000</v>
      </c>
      <c r="M65" s="36"/>
      <c r="N65" s="112" t="s">
        <v>321</v>
      </c>
      <c r="O65" s="111"/>
      <c r="P65" s="67"/>
      <c r="Q65" s="134" t="s">
        <v>115</v>
      </c>
      <c r="R65" s="134" t="s">
        <v>115</v>
      </c>
      <c r="S65" s="134" t="s">
        <v>115</v>
      </c>
      <c r="T65" s="134"/>
      <c r="U65" s="134"/>
      <c r="V65" s="134" t="s">
        <v>115</v>
      </c>
      <c r="W65" s="134" t="s">
        <v>115</v>
      </c>
      <c r="X65" s="90" t="s">
        <v>327</v>
      </c>
      <c r="Y65" s="55" t="s">
        <v>117</v>
      </c>
      <c r="Z65" s="132">
        <v>100</v>
      </c>
      <c r="AA65" s="132"/>
      <c r="AB65" s="132">
        <v>100</v>
      </c>
      <c r="AC65" s="132"/>
      <c r="AD65" s="132"/>
      <c r="AE65" s="132"/>
      <c r="AF65" s="132"/>
      <c r="AG65" s="132"/>
      <c r="AH65" s="132"/>
      <c r="AI65" s="132"/>
      <c r="AJ65" s="132"/>
      <c r="AK65" s="132"/>
      <c r="AL65" s="132"/>
      <c r="AM65" s="132"/>
      <c r="AN65" s="132"/>
      <c r="AO65" s="132"/>
      <c r="AP65" s="132"/>
      <c r="AQ65" s="90"/>
      <c r="AR65" s="112" t="s">
        <v>117</v>
      </c>
      <c r="AS65" s="34" t="s">
        <v>328</v>
      </c>
      <c r="AT65" s="35" t="s">
        <v>1959</v>
      </c>
      <c r="AU65" s="35" t="s">
        <v>317</v>
      </c>
      <c r="AV65" s="93"/>
      <c r="AW65" s="157"/>
      <c r="AX65" s="158" t="s">
        <v>318</v>
      </c>
      <c r="AY65" s="158" t="s">
        <v>91</v>
      </c>
      <c r="AZ65" s="158" t="str">
        <f t="shared" si="83"/>
        <v>工业浦北县</v>
      </c>
      <c r="BA65" s="158" t="str">
        <f t="shared" si="4"/>
        <v>工业</v>
      </c>
      <c r="BB65" s="159"/>
      <c r="BC65" s="160"/>
      <c r="BD65" s="157"/>
      <c r="BE65" s="157"/>
      <c r="BF65" s="157"/>
      <c r="BG65" s="157"/>
      <c r="BH65" s="157"/>
      <c r="BI65" s="157"/>
      <c r="BJ65" s="157" t="str">
        <f t="shared" si="84"/>
        <v>浦北县人民政府4月</v>
      </c>
      <c r="BK65" s="157" t="s">
        <v>92</v>
      </c>
      <c r="BL65" s="157" t="s">
        <v>93</v>
      </c>
      <c r="BM65" s="201" t="str">
        <f t="shared" si="85"/>
        <v>企业浦北县人民政府</v>
      </c>
      <c r="BN65" s="201" t="str">
        <f t="shared" si="86"/>
        <v>产业浦北县人民政府</v>
      </c>
      <c r="BO65" s="201"/>
      <c r="BP65" s="157"/>
      <c r="BQ65" s="157">
        <f t="shared" si="88"/>
        <v>1</v>
      </c>
      <c r="BR65" s="157">
        <f t="shared" si="89"/>
        <v>0</v>
      </c>
      <c r="BS65" s="157">
        <f t="shared" si="90"/>
        <v>0</v>
      </c>
      <c r="BT65" s="157">
        <f t="shared" si="91"/>
        <v>0</v>
      </c>
      <c r="BU65" s="157">
        <f t="shared" si="92"/>
        <v>0</v>
      </c>
      <c r="BV65" s="157"/>
      <c r="BW65" s="206"/>
      <c r="CA65" s="206"/>
    </row>
    <row r="66" ht="66.75" customHeight="1" spans="1:79">
      <c r="A66" s="23">
        <f>SUBTOTAL(3,C$10:C66)</f>
        <v>50</v>
      </c>
      <c r="B66" s="55" t="s">
        <v>329</v>
      </c>
      <c r="C66" s="35" t="s">
        <v>79</v>
      </c>
      <c r="D66" s="55" t="s">
        <v>330</v>
      </c>
      <c r="E66" s="37" t="s">
        <v>112</v>
      </c>
      <c r="F66" s="36">
        <v>13000</v>
      </c>
      <c r="G66" s="36"/>
      <c r="H66" s="81" t="s">
        <v>177</v>
      </c>
      <c r="I66" s="81"/>
      <c r="J66" s="37">
        <v>500</v>
      </c>
      <c r="K66" s="37">
        <v>1300</v>
      </c>
      <c r="L66" s="36">
        <v>2000</v>
      </c>
      <c r="M66" s="36"/>
      <c r="N66" s="112" t="s">
        <v>321</v>
      </c>
      <c r="O66" s="111"/>
      <c r="P66" s="67"/>
      <c r="Q66" s="134" t="s">
        <v>115</v>
      </c>
      <c r="R66" s="134" t="s">
        <v>115</v>
      </c>
      <c r="S66" s="134" t="s">
        <v>115</v>
      </c>
      <c r="T66" s="134"/>
      <c r="U66" s="134"/>
      <c r="V66" s="134" t="s">
        <v>115</v>
      </c>
      <c r="W66" s="134"/>
      <c r="X66" s="90" t="s">
        <v>322</v>
      </c>
      <c r="Y66" s="55" t="s">
        <v>117</v>
      </c>
      <c r="Z66" s="132">
        <v>45</v>
      </c>
      <c r="AA66" s="132">
        <v>45</v>
      </c>
      <c r="AB66" s="132"/>
      <c r="AC66" s="132"/>
      <c r="AD66" s="132"/>
      <c r="AE66" s="132"/>
      <c r="AF66" s="132"/>
      <c r="AG66" s="132"/>
      <c r="AH66" s="132"/>
      <c r="AI66" s="132"/>
      <c r="AJ66" s="132"/>
      <c r="AK66" s="132"/>
      <c r="AL66" s="132"/>
      <c r="AM66" s="132"/>
      <c r="AN66" s="132"/>
      <c r="AO66" s="132"/>
      <c r="AP66" s="132"/>
      <c r="AQ66" s="90"/>
      <c r="AR66" s="112" t="s">
        <v>117</v>
      </c>
      <c r="AS66" s="34" t="s">
        <v>331</v>
      </c>
      <c r="AT66" s="35" t="s">
        <v>1960</v>
      </c>
      <c r="AU66" s="35" t="s">
        <v>317</v>
      </c>
      <c r="AV66" s="93"/>
      <c r="AW66" s="157"/>
      <c r="AX66" s="158" t="s">
        <v>318</v>
      </c>
      <c r="AY66" s="158" t="s">
        <v>91</v>
      </c>
      <c r="AZ66" s="158" t="str">
        <f t="shared" si="83"/>
        <v>工业浦北县</v>
      </c>
      <c r="BA66" s="158" t="str">
        <f t="shared" si="4"/>
        <v>工业</v>
      </c>
      <c r="BB66" s="159"/>
      <c r="BC66" s="160"/>
      <c r="BD66" s="157"/>
      <c r="BE66" s="157"/>
      <c r="BF66" s="157"/>
      <c r="BG66" s="157"/>
      <c r="BH66" s="157"/>
      <c r="BI66" s="157"/>
      <c r="BJ66" s="157" t="str">
        <f t="shared" si="84"/>
        <v>浦北县人民政府4月</v>
      </c>
      <c r="BK66" s="157" t="s">
        <v>92</v>
      </c>
      <c r="BL66" s="157" t="s">
        <v>93</v>
      </c>
      <c r="BM66" s="201" t="str">
        <f t="shared" si="85"/>
        <v>企业浦北县人民政府</v>
      </c>
      <c r="BN66" s="201" t="str">
        <f t="shared" si="86"/>
        <v>产业浦北县人民政府</v>
      </c>
      <c r="BO66" s="201">
        <f t="shared" si="87"/>
        <v>0</v>
      </c>
      <c r="BP66" s="157"/>
      <c r="BQ66" s="157">
        <f t="shared" si="88"/>
        <v>1</v>
      </c>
      <c r="BR66" s="157">
        <f t="shared" si="89"/>
        <v>0</v>
      </c>
      <c r="BS66" s="157">
        <f t="shared" si="90"/>
        <v>0</v>
      </c>
      <c r="BT66" s="157">
        <f t="shared" si="91"/>
        <v>0</v>
      </c>
      <c r="BU66" s="157">
        <f t="shared" si="92"/>
        <v>0</v>
      </c>
      <c r="BV66" s="157"/>
      <c r="BW66" s="206"/>
      <c r="CA66" s="206"/>
    </row>
    <row r="67" ht="63" customHeight="1" spans="1:79">
      <c r="A67" s="23">
        <f>SUBTOTAL(3,C$10:C67)</f>
        <v>51</v>
      </c>
      <c r="B67" s="55" t="s">
        <v>332</v>
      </c>
      <c r="C67" s="37" t="s">
        <v>79</v>
      </c>
      <c r="D67" s="55" t="s">
        <v>333</v>
      </c>
      <c r="E67" s="37" t="s">
        <v>112</v>
      </c>
      <c r="F67" s="36">
        <v>8000</v>
      </c>
      <c r="G67" s="36"/>
      <c r="H67" s="81" t="s">
        <v>209</v>
      </c>
      <c r="I67" s="81"/>
      <c r="J67" s="81"/>
      <c r="K67" s="37">
        <v>1000</v>
      </c>
      <c r="L67" s="36">
        <v>2000</v>
      </c>
      <c r="M67" s="36"/>
      <c r="N67" s="112" t="s">
        <v>334</v>
      </c>
      <c r="O67" s="111"/>
      <c r="P67" s="67"/>
      <c r="Q67" s="134" t="s">
        <v>115</v>
      </c>
      <c r="R67" s="134" t="s">
        <v>115</v>
      </c>
      <c r="S67" s="134" t="s">
        <v>115</v>
      </c>
      <c r="T67" s="134"/>
      <c r="U67" s="134"/>
      <c r="V67" s="134" t="s">
        <v>115</v>
      </c>
      <c r="W67" s="134"/>
      <c r="X67" s="90" t="s">
        <v>327</v>
      </c>
      <c r="Y67" s="55" t="s">
        <v>117</v>
      </c>
      <c r="Z67" s="132">
        <v>70</v>
      </c>
      <c r="AA67" s="132">
        <v>70</v>
      </c>
      <c r="AB67" s="132"/>
      <c r="AC67" s="132"/>
      <c r="AD67" s="132"/>
      <c r="AE67" s="132"/>
      <c r="AF67" s="132"/>
      <c r="AG67" s="132"/>
      <c r="AH67" s="132"/>
      <c r="AI67" s="132"/>
      <c r="AJ67" s="132"/>
      <c r="AK67" s="132"/>
      <c r="AL67" s="132"/>
      <c r="AM67" s="132"/>
      <c r="AN67" s="132"/>
      <c r="AO67" s="132"/>
      <c r="AP67" s="132"/>
      <c r="AQ67" s="90"/>
      <c r="AR67" s="112" t="s">
        <v>335</v>
      </c>
      <c r="AS67" s="34" t="s">
        <v>336</v>
      </c>
      <c r="AT67" s="35" t="s">
        <v>1961</v>
      </c>
      <c r="AU67" s="35" t="s">
        <v>317</v>
      </c>
      <c r="AV67" s="93"/>
      <c r="AW67" s="157"/>
      <c r="AX67" s="158" t="s">
        <v>318</v>
      </c>
      <c r="AY67" s="158" t="s">
        <v>91</v>
      </c>
      <c r="AZ67" s="158" t="str">
        <f t="shared" si="83"/>
        <v>工业浦北县</v>
      </c>
      <c r="BA67" s="158" t="str">
        <f t="shared" si="4"/>
        <v>工业</v>
      </c>
      <c r="BB67" s="159"/>
      <c r="BC67" s="160"/>
      <c r="BD67" s="157"/>
      <c r="BE67" s="157"/>
      <c r="BF67" s="157"/>
      <c r="BG67" s="157"/>
      <c r="BH67" s="157"/>
      <c r="BI67" s="157"/>
      <c r="BJ67" s="157" t="str">
        <f t="shared" si="84"/>
        <v>浦北县人民政府8月</v>
      </c>
      <c r="BK67" s="157" t="s">
        <v>92</v>
      </c>
      <c r="BL67" s="157" t="s">
        <v>93</v>
      </c>
      <c r="BM67" s="201" t="str">
        <f t="shared" si="85"/>
        <v>企业浦北县人民政府</v>
      </c>
      <c r="BN67" s="201" t="str">
        <f t="shared" si="86"/>
        <v>产业浦北县人民政府</v>
      </c>
      <c r="BO67" s="201">
        <f t="shared" si="87"/>
        <v>0</v>
      </c>
      <c r="BP67" s="157"/>
      <c r="BQ67" s="157">
        <f t="shared" si="88"/>
        <v>1</v>
      </c>
      <c r="BR67" s="157">
        <f t="shared" si="89"/>
        <v>0</v>
      </c>
      <c r="BS67" s="157">
        <f t="shared" si="90"/>
        <v>0</v>
      </c>
      <c r="BT67" s="157">
        <f t="shared" si="91"/>
        <v>0</v>
      </c>
      <c r="BU67" s="157">
        <f t="shared" si="92"/>
        <v>0</v>
      </c>
      <c r="BV67" s="157"/>
      <c r="BW67" s="206"/>
      <c r="CA67" s="206"/>
    </row>
    <row r="68" s="199" customFormat="1" ht="63" customHeight="1" spans="1:81">
      <c r="A68" s="23">
        <f>SUBTOTAL(3,C$10:C68)</f>
        <v>52</v>
      </c>
      <c r="B68" s="55" t="s">
        <v>337</v>
      </c>
      <c r="C68" s="37" t="s">
        <v>79</v>
      </c>
      <c r="D68" s="231" t="s">
        <v>338</v>
      </c>
      <c r="E68" s="35">
        <v>2019</v>
      </c>
      <c r="F68" s="35">
        <v>3000</v>
      </c>
      <c r="G68" s="35"/>
      <c r="H68" s="83" t="s">
        <v>144</v>
      </c>
      <c r="I68" s="83"/>
      <c r="J68" s="578">
        <v>500</v>
      </c>
      <c r="K68" s="578">
        <v>1250</v>
      </c>
      <c r="L68" s="35">
        <v>3000</v>
      </c>
      <c r="M68" s="35"/>
      <c r="N68" s="34" t="s">
        <v>1962</v>
      </c>
      <c r="O68" s="111"/>
      <c r="P68" s="67"/>
      <c r="Q68" s="134" t="s">
        <v>115</v>
      </c>
      <c r="R68" s="134" t="s">
        <v>115</v>
      </c>
      <c r="S68" s="134" t="s">
        <v>115</v>
      </c>
      <c r="T68" s="134"/>
      <c r="U68" s="134"/>
      <c r="V68" s="134" t="s">
        <v>115</v>
      </c>
      <c r="W68" s="134"/>
      <c r="X68" s="90" t="s">
        <v>327</v>
      </c>
      <c r="Y68" s="55" t="s">
        <v>117</v>
      </c>
      <c r="Z68" s="132">
        <v>70</v>
      </c>
      <c r="AA68" s="132">
        <v>70</v>
      </c>
      <c r="AB68" s="132"/>
      <c r="AC68" s="132"/>
      <c r="AD68" s="132"/>
      <c r="AE68" s="132"/>
      <c r="AF68" s="132"/>
      <c r="AG68" s="132"/>
      <c r="AH68" s="132"/>
      <c r="AI68" s="132"/>
      <c r="AJ68" s="132"/>
      <c r="AK68" s="132"/>
      <c r="AL68" s="132"/>
      <c r="AM68" s="132"/>
      <c r="AN68" s="132"/>
      <c r="AO68" s="132"/>
      <c r="AP68" s="132"/>
      <c r="AQ68" s="90"/>
      <c r="AR68" s="34" t="s">
        <v>340</v>
      </c>
      <c r="AS68" s="647" t="s">
        <v>341</v>
      </c>
      <c r="AT68" s="35" t="s">
        <v>1963</v>
      </c>
      <c r="AU68" s="35" t="s">
        <v>317</v>
      </c>
      <c r="AV68" s="93"/>
      <c r="AW68" s="35"/>
      <c r="AX68" s="92" t="s">
        <v>318</v>
      </c>
      <c r="AY68" s="92" t="s">
        <v>91</v>
      </c>
      <c r="AZ68" s="92" t="str">
        <f t="shared" si="83"/>
        <v>工业浦北县</v>
      </c>
      <c r="BA68" s="92" t="str">
        <f t="shared" si="4"/>
        <v>工业</v>
      </c>
      <c r="BB68" s="149"/>
      <c r="BC68" s="67"/>
      <c r="BD68" s="35"/>
      <c r="BE68" s="35"/>
      <c r="BF68" s="35"/>
      <c r="BG68" s="35"/>
      <c r="BH68" s="35"/>
      <c r="BI68" s="35"/>
      <c r="BJ68" s="35" t="str">
        <f t="shared" si="84"/>
        <v>浦北县人民政府5月</v>
      </c>
      <c r="BK68" s="35" t="s">
        <v>92</v>
      </c>
      <c r="BL68" s="157" t="s">
        <v>93</v>
      </c>
      <c r="BM68" s="179" t="str">
        <f t="shared" si="85"/>
        <v>企业浦北县人民政府</v>
      </c>
      <c r="BN68" s="179" t="str">
        <f t="shared" si="86"/>
        <v>产业浦北县人民政府</v>
      </c>
      <c r="BO68" s="179">
        <f t="shared" si="87"/>
        <v>0</v>
      </c>
      <c r="BP68" s="35"/>
      <c r="BQ68" s="35">
        <f t="shared" si="88"/>
        <v>1</v>
      </c>
      <c r="BR68" s="35">
        <f t="shared" si="89"/>
        <v>0</v>
      </c>
      <c r="BS68" s="35">
        <f t="shared" si="90"/>
        <v>0</v>
      </c>
      <c r="BT68" s="35">
        <f t="shared" si="91"/>
        <v>0</v>
      </c>
      <c r="BU68" s="35">
        <f t="shared" si="92"/>
        <v>0</v>
      </c>
      <c r="BV68" s="35"/>
      <c r="BW68" s="217"/>
      <c r="BY68" s="217"/>
      <c r="BZ68" s="748"/>
      <c r="CA68" s="217"/>
      <c r="CB68" s="217"/>
      <c r="CC68" s="217"/>
    </row>
    <row r="69" s="199" customFormat="1" ht="63" customHeight="1" spans="1:81">
      <c r="A69" s="23">
        <f>SUBTOTAL(3,C$10:C69)</f>
        <v>53</v>
      </c>
      <c r="B69" s="55" t="s">
        <v>342</v>
      </c>
      <c r="C69" s="37" t="s">
        <v>79</v>
      </c>
      <c r="D69" s="231" t="s">
        <v>343</v>
      </c>
      <c r="E69" s="35" t="s">
        <v>112</v>
      </c>
      <c r="F69" s="35">
        <v>3650</v>
      </c>
      <c r="G69" s="35"/>
      <c r="H69" s="83" t="s">
        <v>209</v>
      </c>
      <c r="I69" s="83"/>
      <c r="J69" s="83"/>
      <c r="K69" s="578">
        <v>600</v>
      </c>
      <c r="L69" s="35">
        <v>2000</v>
      </c>
      <c r="M69" s="35"/>
      <c r="N69" s="34" t="s">
        <v>1964</v>
      </c>
      <c r="O69" s="111"/>
      <c r="P69" s="67"/>
      <c r="Q69" s="134" t="s">
        <v>115</v>
      </c>
      <c r="R69" s="134" t="s">
        <v>115</v>
      </c>
      <c r="S69" s="134" t="s">
        <v>115</v>
      </c>
      <c r="T69" s="134"/>
      <c r="U69" s="134"/>
      <c r="V69" s="134" t="s">
        <v>115</v>
      </c>
      <c r="W69" s="134"/>
      <c r="X69" s="90" t="s">
        <v>327</v>
      </c>
      <c r="Y69" s="55" t="s">
        <v>117</v>
      </c>
      <c r="Z69" s="132">
        <v>70</v>
      </c>
      <c r="AA69" s="132">
        <v>70</v>
      </c>
      <c r="AB69" s="132"/>
      <c r="AC69" s="132"/>
      <c r="AD69" s="132"/>
      <c r="AE69" s="132"/>
      <c r="AF69" s="132"/>
      <c r="AG69" s="132"/>
      <c r="AH69" s="132"/>
      <c r="AI69" s="132"/>
      <c r="AJ69" s="132"/>
      <c r="AK69" s="132"/>
      <c r="AL69" s="132"/>
      <c r="AM69" s="132"/>
      <c r="AN69" s="132"/>
      <c r="AO69" s="132"/>
      <c r="AP69" s="132"/>
      <c r="AQ69" s="90"/>
      <c r="AR69" s="34" t="s">
        <v>345</v>
      </c>
      <c r="AS69" s="647" t="s">
        <v>346</v>
      </c>
      <c r="AT69" s="35" t="s">
        <v>1965</v>
      </c>
      <c r="AU69" s="35" t="s">
        <v>317</v>
      </c>
      <c r="AV69" s="93"/>
      <c r="AW69" s="35"/>
      <c r="AX69" s="92" t="s">
        <v>318</v>
      </c>
      <c r="AY69" s="92" t="s">
        <v>91</v>
      </c>
      <c r="AZ69" s="92" t="str">
        <f t="shared" si="83"/>
        <v>工业浦北县</v>
      </c>
      <c r="BA69" s="92" t="str">
        <f t="shared" si="4"/>
        <v>工业</v>
      </c>
      <c r="BB69" s="149"/>
      <c r="BC69" s="67"/>
      <c r="BD69" s="35"/>
      <c r="BE69" s="35"/>
      <c r="BF69" s="35"/>
      <c r="BG69" s="35"/>
      <c r="BH69" s="35"/>
      <c r="BI69" s="35"/>
      <c r="BJ69" s="35" t="str">
        <f t="shared" si="84"/>
        <v>浦北县人民政府8月</v>
      </c>
      <c r="BK69" s="35" t="s">
        <v>92</v>
      </c>
      <c r="BL69" s="157" t="s">
        <v>93</v>
      </c>
      <c r="BM69" s="179" t="str">
        <f t="shared" si="85"/>
        <v>企业浦北县人民政府</v>
      </c>
      <c r="BN69" s="179" t="str">
        <f t="shared" si="86"/>
        <v>产业浦北县人民政府</v>
      </c>
      <c r="BO69" s="179">
        <f t="shared" si="87"/>
        <v>0</v>
      </c>
      <c r="BP69" s="35"/>
      <c r="BQ69" s="35">
        <f t="shared" si="88"/>
        <v>1</v>
      </c>
      <c r="BR69" s="35">
        <f t="shared" si="89"/>
        <v>0</v>
      </c>
      <c r="BS69" s="35">
        <f t="shared" si="90"/>
        <v>0</v>
      </c>
      <c r="BT69" s="35">
        <f t="shared" si="91"/>
        <v>0</v>
      </c>
      <c r="BU69" s="35">
        <f t="shared" si="92"/>
        <v>0</v>
      </c>
      <c r="BV69" s="35"/>
      <c r="BW69" s="217"/>
      <c r="BY69" s="217"/>
      <c r="BZ69" s="748"/>
      <c r="CA69" s="217"/>
      <c r="CB69" s="217"/>
      <c r="CC69" s="217"/>
    </row>
    <row r="70" s="199" customFormat="1" ht="63" customHeight="1" spans="1:81">
      <c r="A70" s="23">
        <f>SUBTOTAL(3,C$10:C70)</f>
        <v>54</v>
      </c>
      <c r="B70" s="55" t="s">
        <v>347</v>
      </c>
      <c r="C70" s="37" t="s">
        <v>79</v>
      </c>
      <c r="D70" s="231" t="s">
        <v>348</v>
      </c>
      <c r="E70" s="35" t="s">
        <v>112</v>
      </c>
      <c r="F70" s="35">
        <v>1800</v>
      </c>
      <c r="G70" s="35"/>
      <c r="H70" s="83" t="s">
        <v>144</v>
      </c>
      <c r="I70" s="578">
        <v>100</v>
      </c>
      <c r="J70" s="578">
        <v>200</v>
      </c>
      <c r="K70" s="578">
        <v>300</v>
      </c>
      <c r="L70" s="35">
        <v>500</v>
      </c>
      <c r="M70" s="35"/>
      <c r="N70" s="34" t="s">
        <v>1966</v>
      </c>
      <c r="O70" s="111"/>
      <c r="P70" s="67"/>
      <c r="Q70" s="134" t="s">
        <v>115</v>
      </c>
      <c r="R70" s="134" t="s">
        <v>115</v>
      </c>
      <c r="S70" s="134" t="s">
        <v>115</v>
      </c>
      <c r="T70" s="134"/>
      <c r="U70" s="134"/>
      <c r="V70" s="134" t="s">
        <v>115</v>
      </c>
      <c r="W70" s="134"/>
      <c r="X70" s="90" t="s">
        <v>327</v>
      </c>
      <c r="Y70" s="55" t="s">
        <v>117</v>
      </c>
      <c r="Z70" s="132">
        <v>70</v>
      </c>
      <c r="AA70" s="132">
        <v>70</v>
      </c>
      <c r="AB70" s="132"/>
      <c r="AC70" s="132"/>
      <c r="AD70" s="132"/>
      <c r="AE70" s="132"/>
      <c r="AF70" s="132"/>
      <c r="AG70" s="132"/>
      <c r="AH70" s="132"/>
      <c r="AI70" s="132"/>
      <c r="AJ70" s="132"/>
      <c r="AK70" s="132"/>
      <c r="AL70" s="132"/>
      <c r="AM70" s="132"/>
      <c r="AN70" s="132"/>
      <c r="AO70" s="132"/>
      <c r="AP70" s="132"/>
      <c r="AQ70" s="90"/>
      <c r="AR70" s="34" t="s">
        <v>117</v>
      </c>
      <c r="AS70" s="647" t="s">
        <v>350</v>
      </c>
      <c r="AT70" s="35" t="s">
        <v>1967</v>
      </c>
      <c r="AU70" s="35" t="s">
        <v>317</v>
      </c>
      <c r="AV70" s="93"/>
      <c r="AW70" s="35"/>
      <c r="AX70" s="92" t="s">
        <v>318</v>
      </c>
      <c r="AY70" s="92" t="s">
        <v>91</v>
      </c>
      <c r="AZ70" s="92" t="str">
        <f t="shared" si="83"/>
        <v>工业浦北县</v>
      </c>
      <c r="BA70" s="92" t="str">
        <f t="shared" si="4"/>
        <v>工业</v>
      </c>
      <c r="BB70" s="149"/>
      <c r="BC70" s="67"/>
      <c r="BD70" s="35"/>
      <c r="BE70" s="35"/>
      <c r="BF70" s="35"/>
      <c r="BG70" s="35"/>
      <c r="BH70" s="35"/>
      <c r="BI70" s="35"/>
      <c r="BJ70" s="35" t="str">
        <f t="shared" si="84"/>
        <v>浦北县人民政府5月</v>
      </c>
      <c r="BK70" s="35" t="s">
        <v>92</v>
      </c>
      <c r="BL70" s="157" t="s">
        <v>93</v>
      </c>
      <c r="BM70" s="179" t="str">
        <f t="shared" si="85"/>
        <v>企业浦北县人民政府</v>
      </c>
      <c r="BN70" s="179" t="str">
        <f t="shared" si="86"/>
        <v>产业浦北县人民政府</v>
      </c>
      <c r="BO70" s="179">
        <f t="shared" si="87"/>
        <v>0</v>
      </c>
      <c r="BP70" s="35"/>
      <c r="BQ70" s="35">
        <f t="shared" si="88"/>
        <v>1</v>
      </c>
      <c r="BR70" s="35">
        <f t="shared" si="89"/>
        <v>0</v>
      </c>
      <c r="BS70" s="35">
        <f t="shared" si="90"/>
        <v>0</v>
      </c>
      <c r="BT70" s="35">
        <f t="shared" si="91"/>
        <v>0</v>
      </c>
      <c r="BU70" s="35">
        <f t="shared" si="92"/>
        <v>0</v>
      </c>
      <c r="BV70" s="35"/>
      <c r="BW70" s="217"/>
      <c r="BY70" s="217"/>
      <c r="BZ70" s="748"/>
      <c r="CA70" s="217"/>
      <c r="CB70" s="217"/>
      <c r="CC70" s="217"/>
    </row>
    <row r="71" s="9" customFormat="1" ht="18.75" customHeight="1" spans="1:73">
      <c r="A71" s="551" t="s">
        <v>560</v>
      </c>
      <c r="B71" s="557" t="str">
        <f>"能源（"&amp;SUBTOTAL(3,C72:C77)&amp;"个）"</f>
        <v>能源（6个）</v>
      </c>
      <c r="C71" s="557"/>
      <c r="D71" s="557"/>
      <c r="E71" s="551"/>
      <c r="F71" s="134">
        <f t="shared" ref="F71:M71" si="93">SUBTOTAL(9,F72:F77)</f>
        <v>303849</v>
      </c>
      <c r="G71" s="134"/>
      <c r="H71" s="134"/>
      <c r="I71" s="134">
        <f t="shared" si="93"/>
        <v>4050</v>
      </c>
      <c r="J71" s="134">
        <f t="shared" si="93"/>
        <v>25000</v>
      </c>
      <c r="K71" s="134">
        <f t="shared" si="93"/>
        <v>49000</v>
      </c>
      <c r="L71" s="134">
        <f t="shared" si="93"/>
        <v>76000</v>
      </c>
      <c r="M71" s="134">
        <f t="shared" si="93"/>
        <v>0</v>
      </c>
      <c r="N71" s="591"/>
      <c r="O71" s="67"/>
      <c r="P71" s="67"/>
      <c r="Q71" s="134"/>
      <c r="R71" s="134"/>
      <c r="S71" s="134"/>
      <c r="T71" s="134"/>
      <c r="U71" s="134"/>
      <c r="V71" s="134"/>
      <c r="W71" s="134"/>
      <c r="X71" s="90"/>
      <c r="Y71" s="674"/>
      <c r="Z71" s="251"/>
      <c r="AA71" s="251"/>
      <c r="AB71" s="251"/>
      <c r="AC71" s="251"/>
      <c r="AD71" s="251"/>
      <c r="AE71" s="251"/>
      <c r="AF71" s="251"/>
      <c r="AG71" s="251"/>
      <c r="AH71" s="251"/>
      <c r="AI71" s="251"/>
      <c r="AJ71" s="251"/>
      <c r="AK71" s="251"/>
      <c r="AL71" s="251"/>
      <c r="AM71" s="251"/>
      <c r="AN71" s="251"/>
      <c r="AO71" s="251"/>
      <c r="AP71" s="251"/>
      <c r="AQ71" s="674"/>
      <c r="AR71" s="244"/>
      <c r="AS71" s="591"/>
      <c r="AT71" s="134"/>
      <c r="AU71" s="134"/>
      <c r="AV71" s="93"/>
      <c r="AW71" s="165"/>
      <c r="AX71" s="158"/>
      <c r="AY71" s="158"/>
      <c r="AZ71" s="158"/>
      <c r="BA71" s="158"/>
      <c r="BB71" s="169"/>
      <c r="BC71" s="165"/>
      <c r="BD71" s="165"/>
      <c r="BE71" s="165"/>
      <c r="BF71" s="169"/>
      <c r="BG71" s="169"/>
      <c r="BH71" s="169"/>
      <c r="BJ71" s="165"/>
      <c r="BK71" s="157"/>
      <c r="BL71" s="157"/>
      <c r="BN71" s="201"/>
      <c r="BO71" s="7"/>
      <c r="BP71" s="157"/>
      <c r="BQ71" s="157"/>
      <c r="BR71" s="157"/>
      <c r="BS71" s="157"/>
      <c r="BT71" s="157"/>
      <c r="BU71" s="157"/>
    </row>
    <row r="72" s="7" customFormat="1" ht="51.75" customHeight="1" spans="1:81">
      <c r="A72" s="23">
        <f>SUBTOTAL(3,C$10:C72)</f>
        <v>55</v>
      </c>
      <c r="B72" s="55" t="s">
        <v>434</v>
      </c>
      <c r="C72" s="87" t="s">
        <v>79</v>
      </c>
      <c r="D72" s="55" t="s">
        <v>435</v>
      </c>
      <c r="E72" s="35" t="s">
        <v>112</v>
      </c>
      <c r="F72" s="36">
        <v>97912</v>
      </c>
      <c r="G72" s="36"/>
      <c r="H72" s="83" t="s">
        <v>195</v>
      </c>
      <c r="I72" s="38">
        <v>1000</v>
      </c>
      <c r="J72" s="38">
        <v>2500</v>
      </c>
      <c r="K72" s="38">
        <v>4000</v>
      </c>
      <c r="L72" s="36">
        <v>5000</v>
      </c>
      <c r="M72" s="36"/>
      <c r="N72" s="112" t="s">
        <v>436</v>
      </c>
      <c r="O72" s="111"/>
      <c r="P72" s="67"/>
      <c r="Q72" s="134" t="s">
        <v>115</v>
      </c>
      <c r="R72" s="134" t="s">
        <v>115</v>
      </c>
      <c r="S72" s="134" t="s">
        <v>115</v>
      </c>
      <c r="T72" s="134" t="s">
        <v>115</v>
      </c>
      <c r="U72" s="134" t="s">
        <v>115</v>
      </c>
      <c r="V72" s="134"/>
      <c r="W72" s="134" t="s">
        <v>115</v>
      </c>
      <c r="X72" s="90" t="s">
        <v>437</v>
      </c>
      <c r="Y72" s="90" t="s">
        <v>438</v>
      </c>
      <c r="Z72" s="252">
        <v>60</v>
      </c>
      <c r="AA72" s="252"/>
      <c r="AB72" s="252">
        <v>60</v>
      </c>
      <c r="AC72" s="252">
        <v>800</v>
      </c>
      <c r="AD72" s="252">
        <v>800</v>
      </c>
      <c r="AE72" s="252"/>
      <c r="AF72" s="252"/>
      <c r="AG72" s="252"/>
      <c r="AH72" s="252"/>
      <c r="AI72" s="252"/>
      <c r="AJ72" s="252"/>
      <c r="AK72" s="252"/>
      <c r="AL72" s="252">
        <v>5000</v>
      </c>
      <c r="AM72" s="252"/>
      <c r="AN72" s="252"/>
      <c r="AO72" s="252">
        <v>5000</v>
      </c>
      <c r="AP72" s="252"/>
      <c r="AQ72" s="90"/>
      <c r="AR72" s="112" t="s">
        <v>439</v>
      </c>
      <c r="AS72" s="34" t="s">
        <v>440</v>
      </c>
      <c r="AT72" s="35" t="s">
        <v>1968</v>
      </c>
      <c r="AU72" s="35" t="s">
        <v>359</v>
      </c>
      <c r="AV72" s="93"/>
      <c r="AW72" s="157"/>
      <c r="AX72" s="158" t="s">
        <v>360</v>
      </c>
      <c r="AY72" s="158" t="s">
        <v>420</v>
      </c>
      <c r="AZ72" s="158" t="str">
        <f t="shared" ref="AZ72:AZ77" si="94">AY72&amp;AX72</f>
        <v>能源钦南区</v>
      </c>
      <c r="BA72" s="158" t="s">
        <v>91</v>
      </c>
      <c r="BB72" s="159"/>
      <c r="BC72" s="160"/>
      <c r="BD72" s="157"/>
      <c r="BE72" s="157"/>
      <c r="BF72" s="157"/>
      <c r="BG72" s="157"/>
      <c r="BH72" s="157"/>
      <c r="BI72" s="181"/>
      <c r="BJ72" s="157" t="str">
        <f t="shared" ref="BJ72:BJ77" si="95">AU72&amp;H72</f>
        <v>钦南区人民政府3月</v>
      </c>
      <c r="BK72" s="157" t="s">
        <v>92</v>
      </c>
      <c r="BL72" s="157" t="s">
        <v>93</v>
      </c>
      <c r="BM72" s="201" t="str">
        <f t="shared" ref="BM72:BM77" si="96">BK72&amp;AU72</f>
        <v>企业钦南区人民政府</v>
      </c>
      <c r="BN72" s="201" t="str">
        <f t="shared" ref="BN72:BN77" si="97">BL72&amp;AU72</f>
        <v>产业钦南区人民政府</v>
      </c>
      <c r="BO72" s="201"/>
      <c r="BP72" s="157"/>
      <c r="BQ72" s="157">
        <f t="shared" ref="BQ72:BQ77" si="98">IF(Z72&gt;0,1,0)</f>
        <v>1</v>
      </c>
      <c r="BR72" s="157">
        <f t="shared" ref="BR72:BR77" si="99">IF(AF72&gt;0,1,0)</f>
        <v>0</v>
      </c>
      <c r="BS72" s="157">
        <f t="shared" ref="BS72:BS77" si="100">IF(AC72&gt;0,1,0)</f>
        <v>1</v>
      </c>
      <c r="BT72" s="157">
        <f t="shared" ref="BT72:BT77" si="101">IF(AI72&gt;0,1,0)</f>
        <v>0</v>
      </c>
      <c r="BU72" s="157">
        <f t="shared" ref="BU72:BU77" si="102">IF(AL72&gt;0,1,0)</f>
        <v>1</v>
      </c>
      <c r="BV72" s="181"/>
      <c r="BW72" s="206"/>
      <c r="BY72" s="6"/>
      <c r="BZ72" s="228"/>
      <c r="CA72" s="229"/>
      <c r="CB72" s="6"/>
      <c r="CC72" s="6"/>
    </row>
    <row r="73" s="7" customFormat="1" ht="67.5" customHeight="1" spans="1:81">
      <c r="A73" s="23">
        <f>SUBTOTAL(3,C$10:C73)</f>
        <v>56</v>
      </c>
      <c r="B73" s="55" t="s">
        <v>441</v>
      </c>
      <c r="C73" s="87" t="s">
        <v>79</v>
      </c>
      <c r="D73" s="55" t="s">
        <v>442</v>
      </c>
      <c r="E73" s="35" t="s">
        <v>112</v>
      </c>
      <c r="F73" s="36">
        <v>38125</v>
      </c>
      <c r="G73" s="36"/>
      <c r="H73" s="83" t="s">
        <v>122</v>
      </c>
      <c r="I73" s="83"/>
      <c r="J73" s="38">
        <v>1000</v>
      </c>
      <c r="K73" s="38">
        <v>3500</v>
      </c>
      <c r="L73" s="36">
        <v>5000</v>
      </c>
      <c r="M73" s="36"/>
      <c r="N73" s="112" t="s">
        <v>443</v>
      </c>
      <c r="O73" s="111"/>
      <c r="P73" s="67"/>
      <c r="Q73" s="134" t="s">
        <v>115</v>
      </c>
      <c r="R73" s="134" t="s">
        <v>115</v>
      </c>
      <c r="S73" s="134" t="s">
        <v>115</v>
      </c>
      <c r="T73" s="134" t="s">
        <v>115</v>
      </c>
      <c r="U73" s="134" t="s">
        <v>115</v>
      </c>
      <c r="V73" s="134"/>
      <c r="W73" s="134"/>
      <c r="X73" s="90" t="s">
        <v>444</v>
      </c>
      <c r="Y73" s="771" t="s">
        <v>445</v>
      </c>
      <c r="Z73" s="252">
        <v>60.3</v>
      </c>
      <c r="AA73" s="252"/>
      <c r="AB73" s="252">
        <v>60.3</v>
      </c>
      <c r="AC73" s="252">
        <v>58.6</v>
      </c>
      <c r="AD73" s="252"/>
      <c r="AE73" s="252">
        <v>58.6</v>
      </c>
      <c r="AF73" s="252"/>
      <c r="AG73" s="252"/>
      <c r="AH73" s="252"/>
      <c r="AI73" s="252"/>
      <c r="AJ73" s="252"/>
      <c r="AK73" s="252"/>
      <c r="AL73" s="252">
        <v>10000</v>
      </c>
      <c r="AM73" s="252"/>
      <c r="AN73" s="252"/>
      <c r="AO73" s="252"/>
      <c r="AP73" s="252">
        <v>10000</v>
      </c>
      <c r="AQ73" s="90"/>
      <c r="AR73" s="112" t="s">
        <v>446</v>
      </c>
      <c r="AS73" s="34" t="s">
        <v>447</v>
      </c>
      <c r="AT73" s="35" t="s">
        <v>1969</v>
      </c>
      <c r="AU73" s="35" t="s">
        <v>359</v>
      </c>
      <c r="AV73" s="93"/>
      <c r="AW73" s="157"/>
      <c r="AX73" s="158" t="s">
        <v>360</v>
      </c>
      <c r="AY73" s="158" t="s">
        <v>420</v>
      </c>
      <c r="AZ73" s="158" t="str">
        <f t="shared" si="94"/>
        <v>能源钦南区</v>
      </c>
      <c r="BA73" s="158" t="s">
        <v>91</v>
      </c>
      <c r="BB73" s="159"/>
      <c r="BC73" s="160"/>
      <c r="BD73" s="157"/>
      <c r="BE73" s="157"/>
      <c r="BF73" s="157"/>
      <c r="BG73" s="157"/>
      <c r="BH73" s="157"/>
      <c r="BI73" s="181"/>
      <c r="BJ73" s="157" t="str">
        <f t="shared" si="95"/>
        <v>钦南区人民政府6月</v>
      </c>
      <c r="BK73" s="157" t="s">
        <v>92</v>
      </c>
      <c r="BL73" s="157" t="s">
        <v>93</v>
      </c>
      <c r="BM73" s="201" t="str">
        <f t="shared" si="96"/>
        <v>企业钦南区人民政府</v>
      </c>
      <c r="BN73" s="201" t="str">
        <f t="shared" si="97"/>
        <v>产业钦南区人民政府</v>
      </c>
      <c r="BO73" s="201"/>
      <c r="BP73" s="157"/>
      <c r="BQ73" s="157">
        <f t="shared" si="98"/>
        <v>1</v>
      </c>
      <c r="BR73" s="157">
        <f t="shared" si="99"/>
        <v>0</v>
      </c>
      <c r="BS73" s="157">
        <f t="shared" si="100"/>
        <v>1</v>
      </c>
      <c r="BT73" s="157">
        <f t="shared" si="101"/>
        <v>0</v>
      </c>
      <c r="BU73" s="157">
        <f t="shared" si="102"/>
        <v>1</v>
      </c>
      <c r="BV73" s="181"/>
      <c r="BW73" s="206"/>
      <c r="BY73" s="6"/>
      <c r="BZ73" s="228"/>
      <c r="CA73" s="229"/>
      <c r="CB73" s="6"/>
      <c r="CC73" s="6"/>
    </row>
    <row r="74" ht="63.6" customHeight="1" spans="1:81">
      <c r="A74" s="23">
        <f>SUBTOTAL(3,C$10:C74)</f>
        <v>57</v>
      </c>
      <c r="B74" s="55" t="s">
        <v>413</v>
      </c>
      <c r="C74" s="35" t="s">
        <v>79</v>
      </c>
      <c r="D74" s="55" t="s">
        <v>414</v>
      </c>
      <c r="E74" s="35" t="s">
        <v>81</v>
      </c>
      <c r="F74" s="36">
        <v>87078</v>
      </c>
      <c r="G74" s="36"/>
      <c r="H74" s="83" t="s">
        <v>195</v>
      </c>
      <c r="I74" s="37">
        <v>2000</v>
      </c>
      <c r="J74" s="37">
        <v>15000</v>
      </c>
      <c r="K74" s="37">
        <v>25000</v>
      </c>
      <c r="L74" s="36">
        <v>40000</v>
      </c>
      <c r="M74" s="36"/>
      <c r="N74" s="112" t="s">
        <v>415</v>
      </c>
      <c r="O74" s="111"/>
      <c r="P74" s="67"/>
      <c r="Q74" s="115" t="s">
        <v>115</v>
      </c>
      <c r="R74" s="115" t="s">
        <v>115</v>
      </c>
      <c r="S74" s="115" t="s">
        <v>115</v>
      </c>
      <c r="T74" s="115" t="s">
        <v>115</v>
      </c>
      <c r="U74" s="115" t="s">
        <v>115</v>
      </c>
      <c r="V74" s="115" t="s">
        <v>115</v>
      </c>
      <c r="W74" s="115" t="s">
        <v>115</v>
      </c>
      <c r="X74" s="90" t="s">
        <v>416</v>
      </c>
      <c r="Y74" s="90" t="s">
        <v>417</v>
      </c>
      <c r="Z74" s="132">
        <v>40</v>
      </c>
      <c r="AA74" s="132">
        <v>40</v>
      </c>
      <c r="AB74" s="132"/>
      <c r="AC74" s="132"/>
      <c r="AD74" s="132"/>
      <c r="AE74" s="132"/>
      <c r="AF74" s="132"/>
      <c r="AG74" s="132"/>
      <c r="AH74" s="132"/>
      <c r="AI74" s="132">
        <v>21</v>
      </c>
      <c r="AJ74" s="132"/>
      <c r="AK74" s="132">
        <v>21</v>
      </c>
      <c r="AL74" s="132"/>
      <c r="AM74" s="132"/>
      <c r="AN74" s="132"/>
      <c r="AO74" s="132"/>
      <c r="AP74" s="132"/>
      <c r="AQ74" s="90"/>
      <c r="AR74" s="112" t="s">
        <v>418</v>
      </c>
      <c r="AS74" s="34" t="s">
        <v>419</v>
      </c>
      <c r="AT74" s="35" t="s">
        <v>1970</v>
      </c>
      <c r="AU74" s="35" t="s">
        <v>269</v>
      </c>
      <c r="AV74" s="93"/>
      <c r="AW74" s="157"/>
      <c r="AX74" s="158" t="s">
        <v>270</v>
      </c>
      <c r="AY74" s="158" t="s">
        <v>420</v>
      </c>
      <c r="AZ74" s="158" t="str">
        <f t="shared" si="94"/>
        <v>能源灵山县</v>
      </c>
      <c r="BA74" s="158" t="s">
        <v>91</v>
      </c>
      <c r="BB74" s="159"/>
      <c r="BC74" s="160"/>
      <c r="BD74" s="157"/>
      <c r="BE74" s="157"/>
      <c r="BF74" s="157"/>
      <c r="BG74" s="157"/>
      <c r="BH74" s="157"/>
      <c r="BI74" s="181"/>
      <c r="BJ74" s="157" t="str">
        <f t="shared" si="95"/>
        <v>灵山县人民政府3月</v>
      </c>
      <c r="BK74" s="157" t="s">
        <v>92</v>
      </c>
      <c r="BL74" s="157" t="s">
        <v>93</v>
      </c>
      <c r="BM74" s="201" t="str">
        <f t="shared" si="96"/>
        <v>企业灵山县人民政府</v>
      </c>
      <c r="BN74" s="201" t="str">
        <f t="shared" si="97"/>
        <v>产业灵山县人民政府</v>
      </c>
      <c r="BO74" s="201">
        <f t="shared" ref="BO74:BO77" si="103">IF(O74&gt;0,1,0)</f>
        <v>0</v>
      </c>
      <c r="BP74" s="157"/>
      <c r="BQ74" s="157">
        <f t="shared" si="98"/>
        <v>1</v>
      </c>
      <c r="BR74" s="157">
        <f t="shared" si="99"/>
        <v>0</v>
      </c>
      <c r="BS74" s="157">
        <f t="shared" si="100"/>
        <v>0</v>
      </c>
      <c r="BT74" s="157">
        <f t="shared" si="101"/>
        <v>1</v>
      </c>
      <c r="BU74" s="157">
        <f t="shared" si="102"/>
        <v>0</v>
      </c>
      <c r="BV74" s="181"/>
      <c r="BW74" s="206"/>
      <c r="BY74" s="6"/>
      <c r="BZ74" s="228"/>
      <c r="CA74" s="229"/>
      <c r="CB74" s="6"/>
      <c r="CC74" s="6"/>
    </row>
    <row r="75" ht="78.75" customHeight="1" spans="1:81">
      <c r="A75" s="23">
        <f>SUBTOTAL(3,C$10:C75)</f>
        <v>58</v>
      </c>
      <c r="B75" s="55" t="s">
        <v>421</v>
      </c>
      <c r="C75" s="35" t="s">
        <v>79</v>
      </c>
      <c r="D75" s="55" t="s">
        <v>422</v>
      </c>
      <c r="E75" s="35" t="s">
        <v>112</v>
      </c>
      <c r="F75" s="36">
        <v>40000</v>
      </c>
      <c r="G75" s="36"/>
      <c r="H75" s="83" t="s">
        <v>82</v>
      </c>
      <c r="I75" s="578"/>
      <c r="J75" s="578"/>
      <c r="K75" s="578"/>
      <c r="L75" s="36">
        <v>3000</v>
      </c>
      <c r="M75" s="36"/>
      <c r="N75" s="112" t="s">
        <v>284</v>
      </c>
      <c r="O75" s="111"/>
      <c r="P75" s="67"/>
      <c r="Q75" s="115"/>
      <c r="R75" s="115"/>
      <c r="S75" s="115"/>
      <c r="T75" s="115"/>
      <c r="U75" s="115"/>
      <c r="V75" s="115"/>
      <c r="W75" s="115"/>
      <c r="X75" s="90"/>
      <c r="Y75" s="90"/>
      <c r="Z75" s="132"/>
      <c r="AA75" s="132"/>
      <c r="AB75" s="132"/>
      <c r="AC75" s="132"/>
      <c r="AD75" s="132"/>
      <c r="AE75" s="132"/>
      <c r="AF75" s="132"/>
      <c r="AG75" s="132"/>
      <c r="AH75" s="132"/>
      <c r="AI75" s="132"/>
      <c r="AJ75" s="132"/>
      <c r="AK75" s="132"/>
      <c r="AL75" s="132"/>
      <c r="AM75" s="132"/>
      <c r="AN75" s="132"/>
      <c r="AO75" s="132"/>
      <c r="AP75" s="132"/>
      <c r="AQ75" s="90"/>
      <c r="AR75" s="112" t="s">
        <v>117</v>
      </c>
      <c r="AS75" s="34" t="s">
        <v>423</v>
      </c>
      <c r="AT75" s="35" t="s">
        <v>1971</v>
      </c>
      <c r="AU75" s="35" t="s">
        <v>269</v>
      </c>
      <c r="AV75" s="93"/>
      <c r="AW75" s="157"/>
      <c r="AX75" s="158" t="s">
        <v>270</v>
      </c>
      <c r="AY75" s="158" t="s">
        <v>420</v>
      </c>
      <c r="AZ75" s="158" t="str">
        <f t="shared" si="94"/>
        <v>能源灵山县</v>
      </c>
      <c r="BA75" s="158" t="s">
        <v>91</v>
      </c>
      <c r="BB75" s="159"/>
      <c r="BC75" s="160"/>
      <c r="BD75" s="157"/>
      <c r="BE75" s="157"/>
      <c r="BF75" s="157"/>
      <c r="BG75" s="157"/>
      <c r="BH75" s="157"/>
      <c r="BI75" s="181"/>
      <c r="BJ75" s="157" t="str">
        <f t="shared" si="95"/>
        <v>灵山县人民政府10月</v>
      </c>
      <c r="BK75" s="157" t="s">
        <v>92</v>
      </c>
      <c r="BL75" s="157" t="s">
        <v>93</v>
      </c>
      <c r="BM75" s="201" t="str">
        <f t="shared" si="96"/>
        <v>企业灵山县人民政府</v>
      </c>
      <c r="BN75" s="201" t="str">
        <f t="shared" si="97"/>
        <v>产业灵山县人民政府</v>
      </c>
      <c r="BO75" s="201">
        <f t="shared" si="103"/>
        <v>0</v>
      </c>
      <c r="BP75" s="157"/>
      <c r="BQ75" s="157">
        <f t="shared" si="98"/>
        <v>0</v>
      </c>
      <c r="BR75" s="157">
        <f t="shared" si="99"/>
        <v>0</v>
      </c>
      <c r="BS75" s="157">
        <f t="shared" si="100"/>
        <v>0</v>
      </c>
      <c r="BT75" s="157">
        <f t="shared" si="101"/>
        <v>0</v>
      </c>
      <c r="BU75" s="157">
        <f t="shared" si="102"/>
        <v>0</v>
      </c>
      <c r="BV75" s="181"/>
      <c r="BW75" s="206"/>
      <c r="BY75" s="6"/>
      <c r="BZ75" s="228"/>
      <c r="CA75" s="229"/>
      <c r="CB75" s="6"/>
      <c r="CC75" s="6"/>
    </row>
    <row r="76" ht="77.25" customHeight="1" spans="1:81">
      <c r="A76" s="23">
        <f>SUBTOTAL(3,C$10:C76)</f>
        <v>59</v>
      </c>
      <c r="B76" s="55" t="s">
        <v>424</v>
      </c>
      <c r="C76" s="35" t="s">
        <v>79</v>
      </c>
      <c r="D76" s="60" t="s">
        <v>425</v>
      </c>
      <c r="E76" s="35" t="s">
        <v>112</v>
      </c>
      <c r="F76" s="36">
        <v>37734</v>
      </c>
      <c r="G76" s="36"/>
      <c r="H76" s="81" t="s">
        <v>195</v>
      </c>
      <c r="I76" s="37">
        <v>1000</v>
      </c>
      <c r="J76" s="37">
        <v>5000</v>
      </c>
      <c r="K76" s="37">
        <v>14000</v>
      </c>
      <c r="L76" s="36">
        <v>20000</v>
      </c>
      <c r="M76" s="36"/>
      <c r="N76" s="112" t="s">
        <v>1972</v>
      </c>
      <c r="O76" s="111"/>
      <c r="P76" s="67"/>
      <c r="Q76" s="115" t="s">
        <v>115</v>
      </c>
      <c r="R76" s="115" t="s">
        <v>115</v>
      </c>
      <c r="S76" s="115" t="s">
        <v>115</v>
      </c>
      <c r="T76" s="115" t="s">
        <v>115</v>
      </c>
      <c r="U76" s="115" t="s">
        <v>115</v>
      </c>
      <c r="V76" s="115" t="s">
        <v>115</v>
      </c>
      <c r="W76" s="115" t="s">
        <v>115</v>
      </c>
      <c r="X76" s="90" t="s">
        <v>427</v>
      </c>
      <c r="Y76" s="90" t="s">
        <v>428</v>
      </c>
      <c r="Z76" s="132">
        <v>86</v>
      </c>
      <c r="AA76" s="132">
        <v>73</v>
      </c>
      <c r="AB76" s="132">
        <v>13</v>
      </c>
      <c r="AC76" s="132"/>
      <c r="AD76" s="132"/>
      <c r="AE76" s="132"/>
      <c r="AF76" s="132"/>
      <c r="AG76" s="132"/>
      <c r="AH76" s="132"/>
      <c r="AI76" s="132">
        <v>51</v>
      </c>
      <c r="AJ76" s="132">
        <v>51</v>
      </c>
      <c r="AK76" s="251"/>
      <c r="AL76" s="251"/>
      <c r="AM76" s="251"/>
      <c r="AN76" s="251"/>
      <c r="AO76" s="251"/>
      <c r="AP76" s="251"/>
      <c r="AQ76" s="90"/>
      <c r="AR76" s="112" t="s">
        <v>117</v>
      </c>
      <c r="AS76" s="34" t="s">
        <v>429</v>
      </c>
      <c r="AT76" s="35" t="s">
        <v>1973</v>
      </c>
      <c r="AU76" s="35" t="s">
        <v>269</v>
      </c>
      <c r="AV76" s="93"/>
      <c r="AW76" s="157"/>
      <c r="AX76" s="158" t="s">
        <v>270</v>
      </c>
      <c r="AY76" s="158" t="s">
        <v>420</v>
      </c>
      <c r="AZ76" s="158" t="str">
        <f t="shared" si="94"/>
        <v>能源灵山县</v>
      </c>
      <c r="BA76" s="158" t="s">
        <v>91</v>
      </c>
      <c r="BB76" s="159"/>
      <c r="BC76" s="160"/>
      <c r="BD76" s="157"/>
      <c r="BE76" s="157"/>
      <c r="BF76" s="157"/>
      <c r="BG76" s="157"/>
      <c r="BH76" s="157"/>
      <c r="BI76" s="181"/>
      <c r="BJ76" s="157" t="str">
        <f t="shared" si="95"/>
        <v>灵山县人民政府3月</v>
      </c>
      <c r="BK76" s="157" t="s">
        <v>92</v>
      </c>
      <c r="BL76" s="157" t="s">
        <v>93</v>
      </c>
      <c r="BM76" s="201" t="str">
        <f t="shared" si="96"/>
        <v>企业灵山县人民政府</v>
      </c>
      <c r="BN76" s="201" t="str">
        <f t="shared" si="97"/>
        <v>产业灵山县人民政府</v>
      </c>
      <c r="BO76" s="201"/>
      <c r="BP76" s="157"/>
      <c r="BQ76" s="157">
        <f t="shared" si="98"/>
        <v>1</v>
      </c>
      <c r="BR76" s="157">
        <f t="shared" si="99"/>
        <v>0</v>
      </c>
      <c r="BS76" s="157">
        <f t="shared" si="100"/>
        <v>0</v>
      </c>
      <c r="BT76" s="157">
        <f t="shared" si="101"/>
        <v>1</v>
      </c>
      <c r="BU76" s="157">
        <f t="shared" si="102"/>
        <v>0</v>
      </c>
      <c r="BV76" s="181"/>
      <c r="BW76" s="206"/>
      <c r="BY76" s="6"/>
      <c r="BZ76" s="228"/>
      <c r="CA76" s="229"/>
      <c r="CB76" s="6"/>
      <c r="CC76" s="6"/>
    </row>
    <row r="77" s="6" customFormat="1" ht="73.5" customHeight="1" spans="1:79">
      <c r="A77" s="23">
        <f>SUBTOTAL(3,C$10:C77)</f>
        <v>60</v>
      </c>
      <c r="B77" s="55" t="s">
        <v>430</v>
      </c>
      <c r="C77" s="35" t="s">
        <v>79</v>
      </c>
      <c r="D77" s="55" t="s">
        <v>431</v>
      </c>
      <c r="E77" s="35">
        <v>2019</v>
      </c>
      <c r="F77" s="36">
        <v>3000</v>
      </c>
      <c r="G77" s="36"/>
      <c r="H77" s="83" t="s">
        <v>195</v>
      </c>
      <c r="I77" s="578">
        <v>50</v>
      </c>
      <c r="J77" s="578">
        <v>1500</v>
      </c>
      <c r="K77" s="578">
        <v>2500</v>
      </c>
      <c r="L77" s="36">
        <v>3000</v>
      </c>
      <c r="M77" s="36"/>
      <c r="N77" s="58" t="s">
        <v>432</v>
      </c>
      <c r="O77" s="56"/>
      <c r="P77" s="127"/>
      <c r="Q77" s="115"/>
      <c r="R77" s="115"/>
      <c r="S77" s="115"/>
      <c r="T77" s="115"/>
      <c r="U77" s="115"/>
      <c r="V77" s="115"/>
      <c r="W77" s="115"/>
      <c r="X77" s="55"/>
      <c r="Y77" s="90"/>
      <c r="Z77" s="132"/>
      <c r="AA77" s="132"/>
      <c r="AB77" s="132"/>
      <c r="AC77" s="132"/>
      <c r="AD77" s="132"/>
      <c r="AE77" s="132"/>
      <c r="AF77" s="132"/>
      <c r="AG77" s="132"/>
      <c r="AH77" s="132"/>
      <c r="AI77" s="132"/>
      <c r="AJ77" s="132"/>
      <c r="AK77" s="132"/>
      <c r="AL77" s="132"/>
      <c r="AM77" s="132"/>
      <c r="AN77" s="132"/>
      <c r="AO77" s="132"/>
      <c r="AP77" s="132"/>
      <c r="AQ77" s="90"/>
      <c r="AR77" s="112" t="s">
        <v>117</v>
      </c>
      <c r="AS77" s="34" t="s">
        <v>433</v>
      </c>
      <c r="AT77" s="35" t="s">
        <v>1974</v>
      </c>
      <c r="AU77" s="35" t="s">
        <v>269</v>
      </c>
      <c r="AV77" s="171"/>
      <c r="AW77" s="157"/>
      <c r="AX77" s="158" t="s">
        <v>270</v>
      </c>
      <c r="AY77" s="158" t="s">
        <v>420</v>
      </c>
      <c r="AZ77" s="158" t="str">
        <f t="shared" si="94"/>
        <v>能源灵山县</v>
      </c>
      <c r="BA77" s="158" t="str">
        <f>AY77</f>
        <v>能源</v>
      </c>
      <c r="BB77" s="167"/>
      <c r="BC77" s="160"/>
      <c r="BD77" s="157"/>
      <c r="BE77" s="157"/>
      <c r="BF77" s="157"/>
      <c r="BG77" s="157"/>
      <c r="BH77" s="157"/>
      <c r="BI77" s="157"/>
      <c r="BJ77" s="157" t="str">
        <f t="shared" si="95"/>
        <v>灵山县人民政府3月</v>
      </c>
      <c r="BK77" s="157" t="s">
        <v>92</v>
      </c>
      <c r="BL77" s="157" t="s">
        <v>93</v>
      </c>
      <c r="BM77" s="201" t="str">
        <f t="shared" si="96"/>
        <v>企业灵山县人民政府</v>
      </c>
      <c r="BN77" s="201" t="str">
        <f t="shared" si="97"/>
        <v>产业灵山县人民政府</v>
      </c>
      <c r="BO77" s="201">
        <f t="shared" si="103"/>
        <v>0</v>
      </c>
      <c r="BP77" s="157"/>
      <c r="BQ77" s="157">
        <f t="shared" si="98"/>
        <v>0</v>
      </c>
      <c r="BR77" s="157">
        <f t="shared" si="99"/>
        <v>0</v>
      </c>
      <c r="BS77" s="157">
        <f t="shared" si="100"/>
        <v>0</v>
      </c>
      <c r="BT77" s="157">
        <f t="shared" si="101"/>
        <v>0</v>
      </c>
      <c r="BU77" s="157">
        <f t="shared" si="102"/>
        <v>0</v>
      </c>
      <c r="BV77" s="157"/>
      <c r="BW77" s="206"/>
      <c r="BX77" s="6" t="s">
        <v>1895</v>
      </c>
      <c r="BZ77" s="228"/>
      <c r="CA77" s="229"/>
    </row>
    <row r="78" s="9" customFormat="1" ht="30" customHeight="1" spans="1:73">
      <c r="A78" s="551" t="s">
        <v>808</v>
      </c>
      <c r="B78" s="557" t="str">
        <f>"交通（"&amp;SUBTOTAL(3,C80:C95)&amp;"个）"</f>
        <v>交通（14个）</v>
      </c>
      <c r="C78" s="557"/>
      <c r="D78" s="557"/>
      <c r="E78" s="551"/>
      <c r="F78" s="134">
        <f>F87+F85+F79</f>
        <v>925664.8</v>
      </c>
      <c r="G78" s="134"/>
      <c r="H78" s="134">
        <f t="shared" ref="H78:M78" si="104">H87+H85+H79</f>
        <v>0</v>
      </c>
      <c r="I78" s="134">
        <f t="shared" si="104"/>
        <v>2280</v>
      </c>
      <c r="J78" s="134">
        <f t="shared" si="104"/>
        <v>13100</v>
      </c>
      <c r="K78" s="134">
        <f t="shared" si="104"/>
        <v>33560</v>
      </c>
      <c r="L78" s="134">
        <f t="shared" si="104"/>
        <v>72520.8</v>
      </c>
      <c r="M78" s="134">
        <f t="shared" si="104"/>
        <v>0</v>
      </c>
      <c r="N78" s="591"/>
      <c r="O78" s="67"/>
      <c r="P78" s="67"/>
      <c r="Q78" s="115"/>
      <c r="R78" s="115"/>
      <c r="S78" s="115"/>
      <c r="T78" s="115"/>
      <c r="U78" s="115"/>
      <c r="V78" s="115"/>
      <c r="W78" s="115"/>
      <c r="X78" s="674"/>
      <c r="Y78" s="674"/>
      <c r="Z78" s="251"/>
      <c r="AA78" s="251"/>
      <c r="AB78" s="251"/>
      <c r="AC78" s="251"/>
      <c r="AD78" s="251"/>
      <c r="AE78" s="251"/>
      <c r="AF78" s="251"/>
      <c r="AG78" s="251"/>
      <c r="AH78" s="251"/>
      <c r="AI78" s="251"/>
      <c r="AJ78" s="251"/>
      <c r="AK78" s="251"/>
      <c r="AL78" s="251"/>
      <c r="AM78" s="251"/>
      <c r="AN78" s="251"/>
      <c r="AO78" s="251"/>
      <c r="AP78" s="251"/>
      <c r="AQ78" s="674"/>
      <c r="AR78" s="244"/>
      <c r="AS78" s="591"/>
      <c r="AT78" s="134"/>
      <c r="AU78" s="134"/>
      <c r="AV78" s="93"/>
      <c r="AW78" s="165"/>
      <c r="AX78" s="158"/>
      <c r="AY78" s="158"/>
      <c r="AZ78" s="158"/>
      <c r="BA78" s="158"/>
      <c r="BB78" s="169"/>
      <c r="BC78" s="165"/>
      <c r="BD78" s="165"/>
      <c r="BE78" s="165"/>
      <c r="BF78" s="169"/>
      <c r="BG78" s="169"/>
      <c r="BH78" s="169"/>
      <c r="BJ78" s="165"/>
      <c r="BK78" s="157"/>
      <c r="BL78" s="157"/>
      <c r="BN78" s="201"/>
      <c r="BO78" s="7"/>
      <c r="BP78" s="157"/>
      <c r="BQ78" s="157"/>
      <c r="BR78" s="157"/>
      <c r="BS78" s="157"/>
      <c r="BT78" s="157"/>
      <c r="BU78" s="157"/>
    </row>
    <row r="79" s="9" customFormat="1" ht="19.5" customHeight="1" spans="1:74">
      <c r="A79" s="551"/>
      <c r="B79" s="557" t="str">
        <f>"港口水运（"&amp;SUBTOTAL(3,C80:C84)&amp;"个）"</f>
        <v>港口水运（5个）</v>
      </c>
      <c r="C79" s="551"/>
      <c r="D79" s="554"/>
      <c r="E79" s="551"/>
      <c r="F79" s="134">
        <f t="shared" ref="F79:M79" si="105">SUBTOTAL(9,F80:F84)</f>
        <v>337484</v>
      </c>
      <c r="G79" s="134"/>
      <c r="H79" s="134"/>
      <c r="I79" s="134">
        <f t="shared" si="105"/>
        <v>500</v>
      </c>
      <c r="J79" s="134">
        <f t="shared" si="105"/>
        <v>4000</v>
      </c>
      <c r="K79" s="134">
        <f t="shared" si="105"/>
        <v>13000</v>
      </c>
      <c r="L79" s="134">
        <f t="shared" si="105"/>
        <v>29500</v>
      </c>
      <c r="M79" s="134">
        <f t="shared" si="105"/>
        <v>0</v>
      </c>
      <c r="N79" s="591"/>
      <c r="O79" s="134">
        <f>SUBTOTAL(9,O81:O96)</f>
        <v>0</v>
      </c>
      <c r="P79" s="134">
        <f>SUBTOTAL(9,P81:P96)</f>
        <v>0</v>
      </c>
      <c r="Q79" s="115"/>
      <c r="R79" s="115"/>
      <c r="S79" s="115"/>
      <c r="T79" s="115"/>
      <c r="U79" s="115"/>
      <c r="V79" s="115"/>
      <c r="W79" s="115"/>
      <c r="X79" s="674"/>
      <c r="Y79" s="674"/>
      <c r="Z79" s="132"/>
      <c r="AA79" s="132"/>
      <c r="AB79" s="132"/>
      <c r="AC79" s="132"/>
      <c r="AD79" s="132"/>
      <c r="AE79" s="132"/>
      <c r="AF79" s="132"/>
      <c r="AG79" s="132"/>
      <c r="AH79" s="132"/>
      <c r="AI79" s="132"/>
      <c r="AJ79" s="132"/>
      <c r="AK79" s="132"/>
      <c r="AL79" s="132"/>
      <c r="AM79" s="132"/>
      <c r="AN79" s="132"/>
      <c r="AO79" s="132"/>
      <c r="AP79" s="132"/>
      <c r="AQ79" s="674"/>
      <c r="AR79" s="244"/>
      <c r="AS79" s="591"/>
      <c r="AT79" s="134"/>
      <c r="AU79" s="134"/>
      <c r="AV79" s="93"/>
      <c r="AW79" s="165"/>
      <c r="AX79" s="158"/>
      <c r="AY79" s="158"/>
      <c r="AZ79" s="158"/>
      <c r="BA79" s="158"/>
      <c r="BB79" s="169"/>
      <c r="BC79" s="165"/>
      <c r="BD79" s="165"/>
      <c r="BE79" s="165"/>
      <c r="BF79" s="169"/>
      <c r="BG79" s="169"/>
      <c r="BH79" s="169"/>
      <c r="BI79" s="183"/>
      <c r="BJ79" s="165"/>
      <c r="BK79" s="157"/>
      <c r="BL79" s="157"/>
      <c r="BN79" s="201"/>
      <c r="BO79" s="7"/>
      <c r="BP79" s="157"/>
      <c r="BQ79" s="157"/>
      <c r="BR79" s="157"/>
      <c r="BS79" s="157"/>
      <c r="BT79" s="157"/>
      <c r="BU79" s="157"/>
      <c r="BV79" s="183"/>
    </row>
    <row r="80" ht="85.5" customHeight="1" spans="1:81">
      <c r="A80" s="23">
        <f>SUBTOTAL(3,C$10:C80)</f>
        <v>61</v>
      </c>
      <c r="B80" s="60" t="s">
        <v>1103</v>
      </c>
      <c r="C80" s="23" t="s">
        <v>79</v>
      </c>
      <c r="D80" s="88" t="s">
        <v>1104</v>
      </c>
      <c r="E80" s="23" t="s">
        <v>143</v>
      </c>
      <c r="F80" s="67">
        <v>117370</v>
      </c>
      <c r="G80" s="67"/>
      <c r="H80" s="83" t="s">
        <v>122</v>
      </c>
      <c r="I80" s="83"/>
      <c r="J80" s="83"/>
      <c r="K80" s="578">
        <v>5000</v>
      </c>
      <c r="L80" s="67">
        <v>10000</v>
      </c>
      <c r="M80" s="67"/>
      <c r="N80" s="123" t="s">
        <v>1105</v>
      </c>
      <c r="O80" s="111"/>
      <c r="P80" s="118"/>
      <c r="Q80" s="115"/>
      <c r="R80" s="115"/>
      <c r="S80" s="115"/>
      <c r="T80" s="115"/>
      <c r="U80" s="115"/>
      <c r="V80" s="115"/>
      <c r="W80" s="115"/>
      <c r="X80" s="90" t="s">
        <v>1975</v>
      </c>
      <c r="Y80" s="90" t="s">
        <v>117</v>
      </c>
      <c r="Z80" s="132"/>
      <c r="AA80" s="132"/>
      <c r="AB80" s="132"/>
      <c r="AC80" s="132"/>
      <c r="AD80" s="132"/>
      <c r="AE80" s="132"/>
      <c r="AF80" s="132"/>
      <c r="AG80" s="132"/>
      <c r="AH80" s="132"/>
      <c r="AI80" s="132"/>
      <c r="AJ80" s="132"/>
      <c r="AK80" s="132"/>
      <c r="AL80" s="132"/>
      <c r="AM80" s="132"/>
      <c r="AN80" s="132"/>
      <c r="AO80" s="132"/>
      <c r="AP80" s="132"/>
      <c r="AQ80" s="90"/>
      <c r="AR80" s="112" t="s">
        <v>117</v>
      </c>
      <c r="AS80" s="123" t="s">
        <v>1106</v>
      </c>
      <c r="AT80" s="67" t="s">
        <v>1976</v>
      </c>
      <c r="AU80" s="67" t="s">
        <v>1107</v>
      </c>
      <c r="AV80" s="93"/>
      <c r="AW80" s="157"/>
      <c r="AX80" s="161" t="s">
        <v>1977</v>
      </c>
      <c r="AY80" s="161" t="s">
        <v>1978</v>
      </c>
      <c r="AZ80" s="158" t="str">
        <f t="shared" ref="AZ80:AZ84" si="106">AY80&amp;AX80</f>
        <v>交通港口水运</v>
      </c>
      <c r="BA80" s="158" t="s">
        <v>1979</v>
      </c>
      <c r="BB80" s="159"/>
      <c r="BC80" s="160"/>
      <c r="BD80" s="157"/>
      <c r="BE80" s="157"/>
      <c r="BF80" s="157"/>
      <c r="BG80" s="157"/>
      <c r="BH80" s="157"/>
      <c r="BI80" s="181"/>
      <c r="BJ80" s="157" t="str">
        <f t="shared" ref="BJ80:BJ84" si="107">AU80&amp;H80</f>
        <v>北部湾港口管理局钦州分局、钦州港区管委6月</v>
      </c>
      <c r="BK80" s="157" t="s">
        <v>205</v>
      </c>
      <c r="BL80" s="157" t="s">
        <v>1980</v>
      </c>
      <c r="BM80" s="201" t="str">
        <f t="shared" ref="BM80:BM84" si="108">BK80&amp;AU80</f>
        <v>政府北部湾港口管理局钦州分局、钦州港区管委</v>
      </c>
      <c r="BN80" s="201" t="str">
        <f t="shared" ref="BN80:BN84" si="109">BL80&amp;AU80</f>
        <v>基础设施北部湾港口管理局钦州分局、钦州港区管委</v>
      </c>
      <c r="BO80" s="201">
        <f t="shared" ref="BO80:BO84" si="110">IF(O80&gt;0,1,0)</f>
        <v>0</v>
      </c>
      <c r="BP80" s="157"/>
      <c r="BQ80" s="157">
        <f t="shared" ref="BQ80:BQ84" si="111">IF(Z80&gt;0,1,0)</f>
        <v>0</v>
      </c>
      <c r="BR80" s="157">
        <f t="shared" ref="BR80:BR84" si="112">IF(AF80&gt;0,1,0)</f>
        <v>0</v>
      </c>
      <c r="BS80" s="157">
        <f t="shared" ref="BS80:BS84" si="113">IF(AC80&gt;0,1,0)</f>
        <v>0</v>
      </c>
      <c r="BT80" s="157">
        <f t="shared" ref="BT80:BT84" si="114">IF(AI80&gt;0,1,0)</f>
        <v>0</v>
      </c>
      <c r="BU80" s="157">
        <f t="shared" ref="BU80:BU84" si="115">IF(AL80&gt;0,1,0)</f>
        <v>0</v>
      </c>
      <c r="BV80" s="181"/>
      <c r="BW80" s="206"/>
      <c r="BX80" s="4" t="s">
        <v>1904</v>
      </c>
      <c r="BY80" s="4"/>
      <c r="BZ80" s="7" t="s">
        <v>1890</v>
      </c>
      <c r="CA80" s="4"/>
      <c r="CB80" s="4"/>
      <c r="CC80" s="4"/>
    </row>
    <row r="81" ht="65.25" customHeight="1" spans="1:81">
      <c r="A81" s="23">
        <f>SUBTOTAL(3,C$10:C81)</f>
        <v>62</v>
      </c>
      <c r="B81" s="55" t="s">
        <v>1129</v>
      </c>
      <c r="C81" s="35" t="s">
        <v>79</v>
      </c>
      <c r="D81" s="55" t="s">
        <v>1130</v>
      </c>
      <c r="E81" s="35">
        <v>2019</v>
      </c>
      <c r="F81" s="38">
        <v>13500</v>
      </c>
      <c r="G81" s="38"/>
      <c r="H81" s="81" t="s">
        <v>353</v>
      </c>
      <c r="I81" s="578">
        <v>500</v>
      </c>
      <c r="J81" s="578">
        <v>4000</v>
      </c>
      <c r="K81" s="578">
        <v>8000</v>
      </c>
      <c r="L81" s="38">
        <v>13500</v>
      </c>
      <c r="M81" s="38"/>
      <c r="N81" s="124" t="s">
        <v>1131</v>
      </c>
      <c r="O81" s="111"/>
      <c r="P81" s="67"/>
      <c r="Q81" s="134" t="s">
        <v>115</v>
      </c>
      <c r="R81" s="134" t="s">
        <v>115</v>
      </c>
      <c r="S81" s="134" t="s">
        <v>115</v>
      </c>
      <c r="T81" s="134" t="s">
        <v>115</v>
      </c>
      <c r="U81" s="134" t="s">
        <v>115</v>
      </c>
      <c r="V81" s="134" t="s">
        <v>115</v>
      </c>
      <c r="W81" s="134" t="s">
        <v>115</v>
      </c>
      <c r="X81" s="90" t="s">
        <v>1981</v>
      </c>
      <c r="Y81" s="90" t="s">
        <v>1982</v>
      </c>
      <c r="Z81" s="251"/>
      <c r="AA81" s="251"/>
      <c r="AB81" s="251"/>
      <c r="AC81" s="251"/>
      <c r="AD81" s="251"/>
      <c r="AE81" s="251"/>
      <c r="AF81" s="251"/>
      <c r="AG81" s="251"/>
      <c r="AH81" s="251"/>
      <c r="AI81" s="251"/>
      <c r="AJ81" s="251"/>
      <c r="AK81" s="251"/>
      <c r="AL81" s="132">
        <v>13500</v>
      </c>
      <c r="AM81" s="132"/>
      <c r="AN81" s="132"/>
      <c r="AO81" s="132">
        <v>8000</v>
      </c>
      <c r="AP81" s="132">
        <f>AL81-AO81</f>
        <v>5500</v>
      </c>
      <c r="AQ81" s="90"/>
      <c r="AR81" s="112" t="s">
        <v>1132</v>
      </c>
      <c r="AS81" s="123" t="s">
        <v>1003</v>
      </c>
      <c r="AT81" s="67" t="s">
        <v>1983</v>
      </c>
      <c r="AU81" s="67" t="s">
        <v>119</v>
      </c>
      <c r="AV81" s="93" t="s">
        <v>1984</v>
      </c>
      <c r="AW81" s="157"/>
      <c r="AX81" s="161" t="s">
        <v>1977</v>
      </c>
      <c r="AY81" s="161" t="s">
        <v>1978</v>
      </c>
      <c r="AZ81" s="158" t="str">
        <f t="shared" si="106"/>
        <v>交通港口水运</v>
      </c>
      <c r="BA81" s="158" t="s">
        <v>1979</v>
      </c>
      <c r="BB81" s="159"/>
      <c r="BC81" s="160"/>
      <c r="BD81" s="157"/>
      <c r="BE81" s="157"/>
      <c r="BF81" s="157"/>
      <c r="BG81" s="157"/>
      <c r="BH81" s="157"/>
      <c r="BI81" s="181"/>
      <c r="BJ81" s="157" t="str">
        <f t="shared" si="107"/>
        <v>钦州港区管委2月</v>
      </c>
      <c r="BK81" s="157" t="s">
        <v>205</v>
      </c>
      <c r="BL81" s="157" t="s">
        <v>1980</v>
      </c>
      <c r="BM81" s="201" t="str">
        <f t="shared" si="108"/>
        <v>政府钦州港区管委</v>
      </c>
      <c r="BN81" s="201" t="str">
        <f t="shared" si="109"/>
        <v>基础设施钦州港区管委</v>
      </c>
      <c r="BO81" s="201">
        <f t="shared" si="110"/>
        <v>0</v>
      </c>
      <c r="BP81" s="157"/>
      <c r="BQ81" s="157">
        <f t="shared" si="111"/>
        <v>0</v>
      </c>
      <c r="BR81" s="157">
        <f t="shared" si="112"/>
        <v>0</v>
      </c>
      <c r="BS81" s="157">
        <f t="shared" si="113"/>
        <v>0</v>
      </c>
      <c r="BT81" s="157">
        <f t="shared" si="114"/>
        <v>0</v>
      </c>
      <c r="BU81" s="157">
        <f t="shared" si="115"/>
        <v>1</v>
      </c>
      <c r="BV81" s="181"/>
      <c r="BW81" s="206"/>
      <c r="BX81" s="4" t="s">
        <v>1917</v>
      </c>
      <c r="BY81" s="4"/>
      <c r="BZ81" s="4"/>
      <c r="CA81" s="4"/>
      <c r="CB81" s="4"/>
      <c r="CC81" s="4"/>
    </row>
    <row r="82" ht="98.25" customHeight="1" spans="1:81">
      <c r="A82" s="23">
        <f>SUBTOTAL(3,C$10:C82)</f>
        <v>63</v>
      </c>
      <c r="B82" s="60" t="s">
        <v>1126</v>
      </c>
      <c r="C82" s="23" t="s">
        <v>79</v>
      </c>
      <c r="D82" s="88" t="s">
        <v>1127</v>
      </c>
      <c r="E82" s="23" t="s">
        <v>81</v>
      </c>
      <c r="F82" s="67">
        <v>65800</v>
      </c>
      <c r="G82" s="67"/>
      <c r="H82" s="81" t="s">
        <v>131</v>
      </c>
      <c r="I82" s="81"/>
      <c r="J82" s="81"/>
      <c r="K82" s="81"/>
      <c r="L82" s="67">
        <v>3000</v>
      </c>
      <c r="M82" s="67"/>
      <c r="N82" s="123" t="s">
        <v>284</v>
      </c>
      <c r="O82" s="111"/>
      <c r="P82" s="118"/>
      <c r="Q82" s="115"/>
      <c r="R82" s="115"/>
      <c r="S82" s="115"/>
      <c r="T82" s="115"/>
      <c r="U82" s="115"/>
      <c r="V82" s="115"/>
      <c r="W82" s="115"/>
      <c r="X82" s="561" t="s">
        <v>1985</v>
      </c>
      <c r="Y82" s="54" t="s">
        <v>1128</v>
      </c>
      <c r="Z82" s="251"/>
      <c r="AA82" s="251"/>
      <c r="AB82" s="251"/>
      <c r="AC82" s="251"/>
      <c r="AD82" s="251"/>
      <c r="AE82" s="251"/>
      <c r="AF82" s="251"/>
      <c r="AG82" s="251"/>
      <c r="AH82" s="251"/>
      <c r="AI82" s="251"/>
      <c r="AJ82" s="251"/>
      <c r="AK82" s="251"/>
      <c r="AL82" s="251"/>
      <c r="AM82" s="251"/>
      <c r="AN82" s="251"/>
      <c r="AO82" s="251"/>
      <c r="AP82" s="251"/>
      <c r="AQ82" s="90"/>
      <c r="AR82" s="112" t="s">
        <v>1128</v>
      </c>
      <c r="AS82" s="123" t="s">
        <v>1003</v>
      </c>
      <c r="AT82" s="67" t="s">
        <v>1986</v>
      </c>
      <c r="AU82" s="67" t="s">
        <v>119</v>
      </c>
      <c r="AV82" s="93"/>
      <c r="AW82" s="157"/>
      <c r="AX82" s="161" t="s">
        <v>1977</v>
      </c>
      <c r="AY82" s="161" t="s">
        <v>1978</v>
      </c>
      <c r="AZ82" s="158" t="str">
        <f t="shared" si="106"/>
        <v>交通港口水运</v>
      </c>
      <c r="BA82" s="158" t="s">
        <v>1979</v>
      </c>
      <c r="BB82" s="159"/>
      <c r="BC82" s="160"/>
      <c r="BD82" s="157"/>
      <c r="BE82" s="157"/>
      <c r="BF82" s="157"/>
      <c r="BG82" s="157"/>
      <c r="BH82" s="157"/>
      <c r="BI82" s="181"/>
      <c r="BJ82" s="157" t="str">
        <f t="shared" si="107"/>
        <v>钦州港区管委12月</v>
      </c>
      <c r="BK82" s="157" t="s">
        <v>205</v>
      </c>
      <c r="BL82" s="157" t="s">
        <v>1980</v>
      </c>
      <c r="BM82" s="201" t="str">
        <f t="shared" si="108"/>
        <v>政府钦州港区管委</v>
      </c>
      <c r="BN82" s="201" t="str">
        <f t="shared" si="109"/>
        <v>基础设施钦州港区管委</v>
      </c>
      <c r="BO82" s="201">
        <f t="shared" si="110"/>
        <v>0</v>
      </c>
      <c r="BP82" s="157"/>
      <c r="BQ82" s="157">
        <f t="shared" si="111"/>
        <v>0</v>
      </c>
      <c r="BR82" s="157">
        <f t="shared" si="112"/>
        <v>0</v>
      </c>
      <c r="BS82" s="157">
        <f t="shared" si="113"/>
        <v>0</v>
      </c>
      <c r="BT82" s="157">
        <f t="shared" si="114"/>
        <v>0</v>
      </c>
      <c r="BU82" s="157">
        <f t="shared" si="115"/>
        <v>0</v>
      </c>
      <c r="BV82" s="181"/>
      <c r="BW82" s="206"/>
      <c r="BX82" s="4" t="s">
        <v>1904</v>
      </c>
      <c r="BY82" s="4"/>
      <c r="BZ82" s="4"/>
      <c r="CA82" s="4"/>
      <c r="CB82" s="4"/>
      <c r="CC82" s="4"/>
    </row>
    <row r="83" ht="98.25" customHeight="1" spans="1:81">
      <c r="A83" s="23">
        <f>SUBTOTAL(3,C$10:C83)</f>
        <v>64</v>
      </c>
      <c r="B83" s="70" t="s">
        <v>1650</v>
      </c>
      <c r="C83" s="25" t="s">
        <v>79</v>
      </c>
      <c r="D83" s="70" t="s">
        <v>1651</v>
      </c>
      <c r="E83" s="787" t="s">
        <v>81</v>
      </c>
      <c r="F83" s="71">
        <v>110000</v>
      </c>
      <c r="G83" s="67"/>
      <c r="H83" s="81" t="s">
        <v>131</v>
      </c>
      <c r="I83" s="790"/>
      <c r="J83" s="790"/>
      <c r="K83" s="790"/>
      <c r="L83" s="790">
        <v>1000</v>
      </c>
      <c r="M83" s="67"/>
      <c r="N83" s="123" t="s">
        <v>284</v>
      </c>
      <c r="O83" s="111"/>
      <c r="P83" s="118"/>
      <c r="Q83" s="115"/>
      <c r="R83" s="115"/>
      <c r="S83" s="115"/>
      <c r="T83" s="115"/>
      <c r="U83" s="115"/>
      <c r="V83" s="115"/>
      <c r="W83" s="115"/>
      <c r="X83" s="561"/>
      <c r="Y83" s="54"/>
      <c r="Z83" s="251"/>
      <c r="AA83" s="251"/>
      <c r="AB83" s="251"/>
      <c r="AC83" s="251"/>
      <c r="AD83" s="251"/>
      <c r="AE83" s="251"/>
      <c r="AF83" s="251"/>
      <c r="AG83" s="251"/>
      <c r="AH83" s="251"/>
      <c r="AI83" s="251"/>
      <c r="AJ83" s="251"/>
      <c r="AK83" s="251"/>
      <c r="AL83" s="251"/>
      <c r="AM83" s="251"/>
      <c r="AN83" s="251"/>
      <c r="AO83" s="795">
        <v>1000</v>
      </c>
      <c r="AP83" s="251"/>
      <c r="AQ83" s="90"/>
      <c r="AR83" s="112" t="s">
        <v>117</v>
      </c>
      <c r="AS83" s="70" t="s">
        <v>1652</v>
      </c>
      <c r="AT83" s="25" t="s">
        <v>1987</v>
      </c>
      <c r="AU83" s="67" t="s">
        <v>166</v>
      </c>
      <c r="AV83" s="93"/>
      <c r="AW83" s="157"/>
      <c r="AX83" s="161" t="s">
        <v>1977</v>
      </c>
      <c r="AY83" s="161" t="s">
        <v>1978</v>
      </c>
      <c r="AZ83" s="158" t="str">
        <f t="shared" si="106"/>
        <v>交通港口水运</v>
      </c>
      <c r="BA83" s="158" t="s">
        <v>1979</v>
      </c>
      <c r="BB83" s="159"/>
      <c r="BC83" s="160"/>
      <c r="BD83" s="157"/>
      <c r="BE83" s="157"/>
      <c r="BF83" s="157"/>
      <c r="BG83" s="157"/>
      <c r="BH83" s="157"/>
      <c r="BI83" s="181"/>
      <c r="BJ83" s="157" t="str">
        <f t="shared" si="107"/>
        <v>钦州保税港区管委12月</v>
      </c>
      <c r="BK83" s="157" t="s">
        <v>205</v>
      </c>
      <c r="BL83" s="157" t="s">
        <v>1980</v>
      </c>
      <c r="BM83" s="201" t="str">
        <f t="shared" si="108"/>
        <v>政府钦州保税港区管委</v>
      </c>
      <c r="BN83" s="201" t="str">
        <f t="shared" si="109"/>
        <v>基础设施钦州保税港区管委</v>
      </c>
      <c r="BO83" s="201">
        <f t="shared" si="110"/>
        <v>0</v>
      </c>
      <c r="BP83" s="157"/>
      <c r="BQ83" s="157">
        <f t="shared" si="111"/>
        <v>0</v>
      </c>
      <c r="BR83" s="157">
        <f t="shared" si="112"/>
        <v>0</v>
      </c>
      <c r="BS83" s="157">
        <f t="shared" si="113"/>
        <v>0</v>
      </c>
      <c r="BT83" s="157">
        <f t="shared" si="114"/>
        <v>0</v>
      </c>
      <c r="BU83" s="157">
        <f t="shared" si="115"/>
        <v>0</v>
      </c>
      <c r="BV83" s="181"/>
      <c r="BW83" s="206"/>
      <c r="BX83" s="4" t="s">
        <v>1904</v>
      </c>
      <c r="BY83" s="4"/>
      <c r="BZ83" s="4"/>
      <c r="CA83" s="4"/>
      <c r="CB83" s="4"/>
      <c r="CC83" s="4"/>
    </row>
    <row r="84" ht="98.25" customHeight="1" spans="1:81">
      <c r="A84" s="23">
        <f>SUBTOTAL(3,C$10:C84)</f>
        <v>65</v>
      </c>
      <c r="B84" s="24" t="s">
        <v>1653</v>
      </c>
      <c r="C84" s="25" t="s">
        <v>79</v>
      </c>
      <c r="D84" s="24" t="s">
        <v>1654</v>
      </c>
      <c r="E84" s="25" t="s">
        <v>112</v>
      </c>
      <c r="F84" s="57">
        <v>30814</v>
      </c>
      <c r="G84" s="67"/>
      <c r="H84" s="81" t="s">
        <v>103</v>
      </c>
      <c r="I84" s="790"/>
      <c r="J84" s="790"/>
      <c r="K84" s="790"/>
      <c r="L84" s="790">
        <v>2000</v>
      </c>
      <c r="M84" s="67"/>
      <c r="N84" s="123" t="s">
        <v>284</v>
      </c>
      <c r="O84" s="111"/>
      <c r="P84" s="118"/>
      <c r="Q84" s="115"/>
      <c r="R84" s="115"/>
      <c r="S84" s="115"/>
      <c r="T84" s="115"/>
      <c r="U84" s="115"/>
      <c r="V84" s="115"/>
      <c r="W84" s="115"/>
      <c r="X84" s="561"/>
      <c r="Y84" s="54"/>
      <c r="Z84" s="251"/>
      <c r="AA84" s="251"/>
      <c r="AB84" s="251"/>
      <c r="AC84" s="251"/>
      <c r="AD84" s="251"/>
      <c r="AE84" s="251"/>
      <c r="AF84" s="251"/>
      <c r="AG84" s="251"/>
      <c r="AH84" s="251"/>
      <c r="AI84" s="251"/>
      <c r="AJ84" s="251"/>
      <c r="AK84" s="251"/>
      <c r="AL84" s="251"/>
      <c r="AM84" s="251"/>
      <c r="AN84" s="251"/>
      <c r="AO84" s="26">
        <v>2000</v>
      </c>
      <c r="AP84" s="251"/>
      <c r="AQ84" s="90"/>
      <c r="AR84" s="112" t="s">
        <v>117</v>
      </c>
      <c r="AS84" s="79" t="s">
        <v>1125</v>
      </c>
      <c r="AT84" s="80" t="s">
        <v>1988</v>
      </c>
      <c r="AU84" s="67" t="s">
        <v>166</v>
      </c>
      <c r="AV84" s="93"/>
      <c r="AW84" s="157"/>
      <c r="AX84" s="161" t="s">
        <v>1977</v>
      </c>
      <c r="AY84" s="161" t="s">
        <v>1978</v>
      </c>
      <c r="AZ84" s="158" t="str">
        <f t="shared" si="106"/>
        <v>交通港口水运</v>
      </c>
      <c r="BA84" s="158" t="s">
        <v>1979</v>
      </c>
      <c r="BB84" s="159"/>
      <c r="BC84" s="160"/>
      <c r="BD84" s="157"/>
      <c r="BE84" s="157"/>
      <c r="BF84" s="157"/>
      <c r="BG84" s="157"/>
      <c r="BH84" s="157"/>
      <c r="BI84" s="181"/>
      <c r="BJ84" s="157" t="str">
        <f t="shared" si="107"/>
        <v>钦州保税港区管委10月</v>
      </c>
      <c r="BK84" s="157" t="s">
        <v>205</v>
      </c>
      <c r="BL84" s="157" t="s">
        <v>1980</v>
      </c>
      <c r="BM84" s="201" t="str">
        <f t="shared" si="108"/>
        <v>政府钦州保税港区管委</v>
      </c>
      <c r="BN84" s="201" t="str">
        <f t="shared" si="109"/>
        <v>基础设施钦州保税港区管委</v>
      </c>
      <c r="BO84" s="201">
        <f t="shared" si="110"/>
        <v>0</v>
      </c>
      <c r="BP84" s="157"/>
      <c r="BQ84" s="157">
        <f t="shared" si="111"/>
        <v>0</v>
      </c>
      <c r="BR84" s="157">
        <f t="shared" si="112"/>
        <v>0</v>
      </c>
      <c r="BS84" s="157">
        <f t="shared" si="113"/>
        <v>0</v>
      </c>
      <c r="BT84" s="157">
        <f t="shared" si="114"/>
        <v>0</v>
      </c>
      <c r="BU84" s="157">
        <f t="shared" si="115"/>
        <v>0</v>
      </c>
      <c r="BV84" s="181"/>
      <c r="BW84" s="206"/>
      <c r="BX84" s="4" t="s">
        <v>1904</v>
      </c>
      <c r="BY84" s="4"/>
      <c r="BZ84" s="4"/>
      <c r="CA84" s="4"/>
      <c r="CB84" s="4"/>
      <c r="CC84" s="4"/>
    </row>
    <row r="85" s="9" customFormat="1" ht="18.75" customHeight="1" spans="1:74">
      <c r="A85" s="551"/>
      <c r="B85" s="557" t="str">
        <f>"铁路（"&amp;SUBTOTAL(3,C86:C86)&amp;"个）"</f>
        <v>铁路（1个）</v>
      </c>
      <c r="C85" s="551"/>
      <c r="D85" s="554"/>
      <c r="E85" s="551"/>
      <c r="F85" s="134">
        <f t="shared" ref="F85:M85" si="116">SUBTOTAL(9,F86:F86)</f>
        <v>17500</v>
      </c>
      <c r="G85" s="134"/>
      <c r="H85" s="134"/>
      <c r="I85" s="134">
        <f t="shared" si="116"/>
        <v>0</v>
      </c>
      <c r="J85" s="134">
        <f t="shared" si="116"/>
        <v>500</v>
      </c>
      <c r="K85" s="134">
        <f t="shared" si="116"/>
        <v>2000</v>
      </c>
      <c r="L85" s="134">
        <f t="shared" si="116"/>
        <v>5000</v>
      </c>
      <c r="M85" s="134">
        <f t="shared" si="116"/>
        <v>0</v>
      </c>
      <c r="N85" s="591"/>
      <c r="O85" s="134" t="e">
        <f>SUBTOTAL(9,#REF!)</f>
        <v>#REF!</v>
      </c>
      <c r="P85" s="134" t="e">
        <f>SUBTOTAL(9,#REF!)</f>
        <v>#REF!</v>
      </c>
      <c r="Q85" s="115"/>
      <c r="R85" s="115"/>
      <c r="S85" s="115"/>
      <c r="T85" s="115"/>
      <c r="U85" s="115"/>
      <c r="V85" s="115"/>
      <c r="W85" s="115"/>
      <c r="X85" s="674"/>
      <c r="Y85" s="674"/>
      <c r="Z85" s="132"/>
      <c r="AA85" s="132"/>
      <c r="AB85" s="132"/>
      <c r="AC85" s="132"/>
      <c r="AD85" s="132"/>
      <c r="AE85" s="132"/>
      <c r="AF85" s="132"/>
      <c r="AG85" s="132"/>
      <c r="AH85" s="132"/>
      <c r="AI85" s="132"/>
      <c r="AJ85" s="132"/>
      <c r="AK85" s="132"/>
      <c r="AL85" s="132"/>
      <c r="AM85" s="132"/>
      <c r="AN85" s="132"/>
      <c r="AO85" s="132"/>
      <c r="AP85" s="132"/>
      <c r="AQ85" s="674"/>
      <c r="AR85" s="244"/>
      <c r="AS85" s="591"/>
      <c r="AT85" s="134"/>
      <c r="AU85" s="134"/>
      <c r="AV85" s="93"/>
      <c r="AW85" s="165"/>
      <c r="AX85" s="158"/>
      <c r="AY85" s="158"/>
      <c r="AZ85" s="158"/>
      <c r="BA85" s="158"/>
      <c r="BB85" s="169"/>
      <c r="BC85" s="165"/>
      <c r="BD85" s="165"/>
      <c r="BE85" s="165"/>
      <c r="BF85" s="169"/>
      <c r="BG85" s="169"/>
      <c r="BH85" s="169"/>
      <c r="BI85" s="183"/>
      <c r="BJ85" s="165"/>
      <c r="BK85" s="157"/>
      <c r="BL85" s="157"/>
      <c r="BN85" s="201"/>
      <c r="BO85" s="201"/>
      <c r="BP85" s="157"/>
      <c r="BQ85" s="157"/>
      <c r="BR85" s="157"/>
      <c r="BS85" s="157"/>
      <c r="BT85" s="157"/>
      <c r="BU85" s="157"/>
      <c r="BV85" s="183"/>
    </row>
    <row r="86" ht="84.75" customHeight="1" spans="1:81">
      <c r="A86" s="23">
        <f>SUBTOTAL(3,C$10:C86)</f>
        <v>66</v>
      </c>
      <c r="B86" s="55" t="s">
        <v>1134</v>
      </c>
      <c r="C86" s="35" t="s">
        <v>79</v>
      </c>
      <c r="D86" s="55" t="s">
        <v>1135</v>
      </c>
      <c r="E86" s="35" t="s">
        <v>112</v>
      </c>
      <c r="F86" s="36">
        <v>17500</v>
      </c>
      <c r="G86" s="36"/>
      <c r="H86" s="81" t="s">
        <v>144</v>
      </c>
      <c r="I86" s="81"/>
      <c r="J86" s="578">
        <v>500</v>
      </c>
      <c r="K86" s="578">
        <v>2000</v>
      </c>
      <c r="L86" s="38">
        <v>5000</v>
      </c>
      <c r="M86" s="38"/>
      <c r="N86" s="123" t="s">
        <v>284</v>
      </c>
      <c r="O86" s="111"/>
      <c r="P86" s="67"/>
      <c r="Q86" s="134"/>
      <c r="R86" s="134" t="s">
        <v>115</v>
      </c>
      <c r="S86" s="134"/>
      <c r="T86" s="134"/>
      <c r="U86" s="134"/>
      <c r="V86" s="134"/>
      <c r="W86" s="134"/>
      <c r="X86" s="90" t="s">
        <v>1989</v>
      </c>
      <c r="Y86" s="90" t="s">
        <v>1990</v>
      </c>
      <c r="Z86" s="132">
        <v>95</v>
      </c>
      <c r="AA86" s="132"/>
      <c r="AB86" s="132"/>
      <c r="AC86" s="132"/>
      <c r="AD86" s="132"/>
      <c r="AE86" s="132"/>
      <c r="AF86" s="132"/>
      <c r="AG86" s="132"/>
      <c r="AH86" s="132"/>
      <c r="AI86" s="132">
        <v>95</v>
      </c>
      <c r="AJ86" s="132"/>
      <c r="AK86" s="132">
        <v>95</v>
      </c>
      <c r="AL86" s="132">
        <v>5000</v>
      </c>
      <c r="AM86" s="132"/>
      <c r="AN86" s="132"/>
      <c r="AO86" s="132">
        <v>5000</v>
      </c>
      <c r="AP86" s="132"/>
      <c r="AQ86" s="90"/>
      <c r="AR86" s="112" t="s">
        <v>1991</v>
      </c>
      <c r="AS86" s="34" t="s">
        <v>1137</v>
      </c>
      <c r="AT86" s="35" t="s">
        <v>1992</v>
      </c>
      <c r="AU86" s="35" t="s">
        <v>1138</v>
      </c>
      <c r="AV86" s="93" t="s">
        <v>1139</v>
      </c>
      <c r="AW86" s="157"/>
      <c r="AX86" s="161" t="s">
        <v>1993</v>
      </c>
      <c r="AY86" s="161" t="s">
        <v>1978</v>
      </c>
      <c r="AZ86" s="158" t="str">
        <f>AY86&amp;AX86</f>
        <v>交通铁路</v>
      </c>
      <c r="BA86" s="158" t="str">
        <f>AX86</f>
        <v>铁路</v>
      </c>
      <c r="BB86" s="159"/>
      <c r="BC86" s="160"/>
      <c r="BD86" s="157"/>
      <c r="BE86" s="157"/>
      <c r="BF86" s="157"/>
      <c r="BG86" s="157"/>
      <c r="BH86" s="157"/>
      <c r="BI86" s="181"/>
      <c r="BJ86" s="157" t="str">
        <f>AU86&amp;H86</f>
        <v>市交通运输局、钦州港区管委5月</v>
      </c>
      <c r="BK86" s="157" t="s">
        <v>205</v>
      </c>
      <c r="BL86" s="157" t="s">
        <v>1980</v>
      </c>
      <c r="BM86" s="201" t="str">
        <f>BK86&amp;AU86</f>
        <v>政府市交通运输局、钦州港区管委</v>
      </c>
      <c r="BN86" s="201" t="str">
        <f>BL86&amp;AU86</f>
        <v>基础设施市交通运输局、钦州港区管委</v>
      </c>
      <c r="BO86" s="201">
        <f>IF(O86&gt;0,1,0)</f>
        <v>0</v>
      </c>
      <c r="BP86" s="157"/>
      <c r="BQ86" s="157">
        <f>IF(Z86&gt;0,1,0)</f>
        <v>1</v>
      </c>
      <c r="BR86" s="157">
        <f>IF(AF86&gt;0,1,0)</f>
        <v>0</v>
      </c>
      <c r="BS86" s="157">
        <f>IF(AC86&gt;0,1,0)</f>
        <v>0</v>
      </c>
      <c r="BT86" s="157">
        <f>IF(AI86&gt;0,1,0)</f>
        <v>1</v>
      </c>
      <c r="BU86" s="157">
        <f>IF(AL86&gt;0,1,0)</f>
        <v>1</v>
      </c>
      <c r="BV86" s="181"/>
      <c r="BW86" s="206"/>
      <c r="BY86" s="4"/>
      <c r="BZ86" s="4"/>
      <c r="CA86" s="4"/>
      <c r="CB86" s="4"/>
      <c r="CC86" s="4"/>
    </row>
    <row r="87" s="9" customFormat="1" ht="24.6" customHeight="1" spans="1:74">
      <c r="A87" s="551"/>
      <c r="B87" s="557" t="str">
        <f>"公路（"&amp;SUBTOTAL(3,C88:C95)&amp;"个）"</f>
        <v>公路（8个）</v>
      </c>
      <c r="C87" s="551"/>
      <c r="D87" s="554"/>
      <c r="E87" s="551"/>
      <c r="F87" s="134">
        <f t="shared" ref="F87:M87" si="117">SUBTOTAL(9,F88:F95)</f>
        <v>570680.8</v>
      </c>
      <c r="G87" s="134"/>
      <c r="H87" s="134"/>
      <c r="I87" s="134">
        <f t="shared" si="117"/>
        <v>1780</v>
      </c>
      <c r="J87" s="134">
        <f t="shared" si="117"/>
        <v>8600</v>
      </c>
      <c r="K87" s="134">
        <f t="shared" si="117"/>
        <v>18560</v>
      </c>
      <c r="L87" s="134">
        <f t="shared" si="117"/>
        <v>38020.8</v>
      </c>
      <c r="M87" s="134">
        <f t="shared" si="117"/>
        <v>0</v>
      </c>
      <c r="N87" s="591"/>
      <c r="O87" s="134"/>
      <c r="P87" s="134"/>
      <c r="Q87" s="115"/>
      <c r="R87" s="115"/>
      <c r="S87" s="115"/>
      <c r="T87" s="115"/>
      <c r="U87" s="115"/>
      <c r="V87" s="115"/>
      <c r="W87" s="115"/>
      <c r="X87" s="674"/>
      <c r="Y87" s="674"/>
      <c r="Z87" s="132"/>
      <c r="AA87" s="132"/>
      <c r="AB87" s="132"/>
      <c r="AC87" s="132"/>
      <c r="AD87" s="132"/>
      <c r="AE87" s="132"/>
      <c r="AF87" s="132"/>
      <c r="AG87" s="132"/>
      <c r="AH87" s="132"/>
      <c r="AI87" s="132"/>
      <c r="AJ87" s="132"/>
      <c r="AK87" s="132"/>
      <c r="AL87" s="132"/>
      <c r="AM87" s="132"/>
      <c r="AN87" s="132"/>
      <c r="AO87" s="132"/>
      <c r="AP87" s="132"/>
      <c r="AQ87" s="674"/>
      <c r="AR87" s="244"/>
      <c r="AS87" s="591"/>
      <c r="AT87" s="134"/>
      <c r="AU87" s="134"/>
      <c r="AV87" s="93"/>
      <c r="AW87" s="165"/>
      <c r="AX87" s="158"/>
      <c r="AY87" s="158"/>
      <c r="AZ87" s="158"/>
      <c r="BA87" s="158"/>
      <c r="BB87" s="169"/>
      <c r="BC87" s="165"/>
      <c r="BD87" s="165"/>
      <c r="BE87" s="165"/>
      <c r="BF87" s="169"/>
      <c r="BG87" s="169"/>
      <c r="BH87" s="169"/>
      <c r="BI87" s="183"/>
      <c r="BJ87" s="165"/>
      <c r="BK87" s="157"/>
      <c r="BL87" s="157"/>
      <c r="BN87" s="201"/>
      <c r="BO87" s="7"/>
      <c r="BP87" s="157"/>
      <c r="BQ87" s="157"/>
      <c r="BR87" s="157"/>
      <c r="BS87" s="157"/>
      <c r="BT87" s="157"/>
      <c r="BU87" s="157"/>
      <c r="BV87" s="183"/>
    </row>
    <row r="88" s="199" customFormat="1" ht="74.25" customHeight="1" spans="1:75">
      <c r="A88" s="23">
        <f>SUBTOTAL(3,C$10:C88)</f>
        <v>67</v>
      </c>
      <c r="B88" s="55" t="s">
        <v>1147</v>
      </c>
      <c r="C88" s="35" t="s">
        <v>79</v>
      </c>
      <c r="D88" s="55" t="s">
        <v>1148</v>
      </c>
      <c r="E88" s="35" t="s">
        <v>112</v>
      </c>
      <c r="F88" s="36">
        <v>400000</v>
      </c>
      <c r="G88" s="36"/>
      <c r="H88" s="81" t="s">
        <v>122</v>
      </c>
      <c r="I88" s="81"/>
      <c r="J88" s="81"/>
      <c r="K88" s="37">
        <v>2000</v>
      </c>
      <c r="L88" s="36">
        <v>10000</v>
      </c>
      <c r="M88" s="36"/>
      <c r="N88" s="112" t="s">
        <v>1994</v>
      </c>
      <c r="O88" s="111"/>
      <c r="P88" s="67"/>
      <c r="Q88" s="134"/>
      <c r="R88" s="134"/>
      <c r="S88" s="134"/>
      <c r="T88" s="134"/>
      <c r="U88" s="134"/>
      <c r="V88" s="134"/>
      <c r="W88" s="134"/>
      <c r="X88" s="90" t="s">
        <v>1995</v>
      </c>
      <c r="Y88" s="90"/>
      <c r="Z88" s="252">
        <v>449.93</v>
      </c>
      <c r="AA88" s="252"/>
      <c r="AB88" s="252">
        <v>450</v>
      </c>
      <c r="AC88" s="252">
        <v>91.8</v>
      </c>
      <c r="AD88" s="252"/>
      <c r="AE88" s="252">
        <v>92</v>
      </c>
      <c r="AF88" s="252"/>
      <c r="AG88" s="252"/>
      <c r="AH88" s="252"/>
      <c r="AI88" s="252">
        <v>11.17</v>
      </c>
      <c r="AJ88" s="252"/>
      <c r="AK88" s="252">
        <v>11</v>
      </c>
      <c r="AL88" s="252">
        <v>3000</v>
      </c>
      <c r="AM88" s="252"/>
      <c r="AN88" s="252"/>
      <c r="AO88" s="252"/>
      <c r="AP88" s="252">
        <v>3000</v>
      </c>
      <c r="AQ88" s="90"/>
      <c r="AR88" s="112" t="s">
        <v>1150</v>
      </c>
      <c r="AS88" s="86" t="s">
        <v>1151</v>
      </c>
      <c r="AT88" s="87" t="s">
        <v>1996</v>
      </c>
      <c r="AU88" s="35" t="s">
        <v>950</v>
      </c>
      <c r="AV88" s="93"/>
      <c r="AW88" s="35"/>
      <c r="AX88" s="92" t="s">
        <v>1997</v>
      </c>
      <c r="AY88" s="92" t="s">
        <v>1978</v>
      </c>
      <c r="AZ88" s="92" t="str">
        <f t="shared" ref="AZ88:AZ95" si="118">AY88&amp;AX88</f>
        <v>交通公路</v>
      </c>
      <c r="BA88" s="92" t="str">
        <f t="shared" ref="BA88:BA95" si="119">AX88</f>
        <v>公路</v>
      </c>
      <c r="BB88" s="149"/>
      <c r="BC88" s="67"/>
      <c r="BD88" s="35"/>
      <c r="BE88" s="35"/>
      <c r="BF88" s="35"/>
      <c r="BG88" s="35"/>
      <c r="BH88" s="35"/>
      <c r="BI88" s="59"/>
      <c r="BJ88" s="35" t="str">
        <f t="shared" ref="BJ88:BJ95" si="120">AU88&amp;H88</f>
        <v>市交通运输局6月</v>
      </c>
      <c r="BK88" s="35" t="s">
        <v>205</v>
      </c>
      <c r="BL88" s="35" t="s">
        <v>1980</v>
      </c>
      <c r="BM88" s="179" t="str">
        <f t="shared" ref="BM88:BM95" si="121">BK88&amp;AU88</f>
        <v>政府市交通运输局</v>
      </c>
      <c r="BN88" s="179" t="str">
        <f t="shared" ref="BN88:BN95" si="122">BL88&amp;AU88</f>
        <v>基础设施市交通运输局</v>
      </c>
      <c r="BO88" s="179">
        <f t="shared" ref="BO88:BO95" si="123">IF(O88&gt;0,1,0)</f>
        <v>0</v>
      </c>
      <c r="BP88" s="35"/>
      <c r="BQ88" s="35">
        <f t="shared" ref="BQ88:BQ95" si="124">IF(Z88&gt;0,1,0)</f>
        <v>1</v>
      </c>
      <c r="BR88" s="35">
        <f t="shared" ref="BR88:BR95" si="125">IF(AF88&gt;0,1,0)</f>
        <v>0</v>
      </c>
      <c r="BS88" s="35">
        <f t="shared" ref="BS88:BS95" si="126">IF(AC88&gt;0,1,0)</f>
        <v>1</v>
      </c>
      <c r="BT88" s="35">
        <f t="shared" ref="BT88:BT95" si="127">IF(AI88&gt;0,1,0)</f>
        <v>1</v>
      </c>
      <c r="BU88" s="35">
        <f t="shared" ref="BU88:BU95" si="128">IF(AL88&gt;0,1,0)</f>
        <v>1</v>
      </c>
      <c r="BV88" s="59"/>
      <c r="BW88" s="217"/>
    </row>
    <row r="89" s="199" customFormat="1" ht="60" customHeight="1" spans="1:75">
      <c r="A89" s="23">
        <f>SUBTOTAL(3,C$10:C89)</f>
        <v>68</v>
      </c>
      <c r="B89" s="55" t="s">
        <v>1152</v>
      </c>
      <c r="C89" s="35" t="s">
        <v>79</v>
      </c>
      <c r="D89" s="55" t="s">
        <v>1153</v>
      </c>
      <c r="E89" s="35" t="s">
        <v>81</v>
      </c>
      <c r="F89" s="36">
        <v>69400</v>
      </c>
      <c r="G89" s="36"/>
      <c r="H89" s="81" t="s">
        <v>131</v>
      </c>
      <c r="I89" s="81"/>
      <c r="J89" s="81"/>
      <c r="K89" s="37">
        <v>1000</v>
      </c>
      <c r="L89" s="36">
        <v>5000</v>
      </c>
      <c r="M89" s="36"/>
      <c r="N89" s="112" t="s">
        <v>284</v>
      </c>
      <c r="O89" s="111"/>
      <c r="P89" s="67"/>
      <c r="Q89" s="134"/>
      <c r="R89" s="134"/>
      <c r="S89" s="134"/>
      <c r="T89" s="134"/>
      <c r="U89" s="134"/>
      <c r="V89" s="134"/>
      <c r="W89" s="134"/>
      <c r="X89" s="90" t="s">
        <v>1995</v>
      </c>
      <c r="Y89" s="90"/>
      <c r="Z89" s="252">
        <v>449.93</v>
      </c>
      <c r="AA89" s="252"/>
      <c r="AB89" s="252">
        <v>450</v>
      </c>
      <c r="AC89" s="252">
        <v>91.8</v>
      </c>
      <c r="AD89" s="252"/>
      <c r="AE89" s="252">
        <v>92</v>
      </c>
      <c r="AF89" s="252"/>
      <c r="AG89" s="252"/>
      <c r="AH89" s="252"/>
      <c r="AI89" s="252">
        <v>11.17</v>
      </c>
      <c r="AJ89" s="252"/>
      <c r="AK89" s="252">
        <v>11</v>
      </c>
      <c r="AL89" s="252">
        <v>3000</v>
      </c>
      <c r="AM89" s="252"/>
      <c r="AN89" s="252"/>
      <c r="AO89" s="252"/>
      <c r="AP89" s="252">
        <v>3000</v>
      </c>
      <c r="AQ89" s="90"/>
      <c r="AR89" s="34" t="s">
        <v>1154</v>
      </c>
      <c r="AS89" s="86" t="s">
        <v>1155</v>
      </c>
      <c r="AT89" s="87" t="s">
        <v>1998</v>
      </c>
      <c r="AU89" s="35" t="s">
        <v>950</v>
      </c>
      <c r="AV89" s="93"/>
      <c r="AW89" s="35"/>
      <c r="AX89" s="92" t="s">
        <v>1997</v>
      </c>
      <c r="AY89" s="92" t="s">
        <v>1978</v>
      </c>
      <c r="AZ89" s="92" t="str">
        <f t="shared" si="118"/>
        <v>交通公路</v>
      </c>
      <c r="BA89" s="92" t="str">
        <f t="shared" si="119"/>
        <v>公路</v>
      </c>
      <c r="BB89" s="149"/>
      <c r="BC89" s="67"/>
      <c r="BD89" s="35"/>
      <c r="BE89" s="35"/>
      <c r="BF89" s="35"/>
      <c r="BG89" s="35"/>
      <c r="BH89" s="35"/>
      <c r="BI89" s="59"/>
      <c r="BJ89" s="35" t="str">
        <f t="shared" si="120"/>
        <v>市交通运输局12月</v>
      </c>
      <c r="BK89" s="35" t="s">
        <v>205</v>
      </c>
      <c r="BL89" s="35" t="s">
        <v>1980</v>
      </c>
      <c r="BM89" s="179" t="str">
        <f t="shared" si="121"/>
        <v>政府市交通运输局</v>
      </c>
      <c r="BN89" s="179" t="str">
        <f t="shared" si="122"/>
        <v>基础设施市交通运输局</v>
      </c>
      <c r="BO89" s="179">
        <f t="shared" si="123"/>
        <v>0</v>
      </c>
      <c r="BP89" s="35"/>
      <c r="BQ89" s="35">
        <f t="shared" si="124"/>
        <v>1</v>
      </c>
      <c r="BR89" s="35">
        <f t="shared" si="125"/>
        <v>0</v>
      </c>
      <c r="BS89" s="35">
        <f t="shared" si="126"/>
        <v>1</v>
      </c>
      <c r="BT89" s="35">
        <f t="shared" si="127"/>
        <v>1</v>
      </c>
      <c r="BU89" s="35">
        <f t="shared" si="128"/>
        <v>1</v>
      </c>
      <c r="BV89" s="59"/>
      <c r="BW89" s="217"/>
    </row>
    <row r="90" ht="60" customHeight="1" spans="1:81">
      <c r="A90" s="23">
        <f>SUBTOTAL(3,C$10:C90)</f>
        <v>69</v>
      </c>
      <c r="B90" s="55" t="s">
        <v>1195</v>
      </c>
      <c r="C90" s="35" t="s">
        <v>79</v>
      </c>
      <c r="D90" s="55" t="s">
        <v>1196</v>
      </c>
      <c r="E90" s="35" t="s">
        <v>112</v>
      </c>
      <c r="F90" s="36">
        <v>11200</v>
      </c>
      <c r="G90" s="36"/>
      <c r="H90" s="81" t="s">
        <v>244</v>
      </c>
      <c r="I90" s="36">
        <v>780</v>
      </c>
      <c r="J90" s="37">
        <v>2500</v>
      </c>
      <c r="K90" s="37">
        <v>4000</v>
      </c>
      <c r="L90" s="36">
        <v>5000</v>
      </c>
      <c r="M90" s="36"/>
      <c r="N90" s="112" t="s">
        <v>1197</v>
      </c>
      <c r="O90" s="111"/>
      <c r="P90" s="67"/>
      <c r="Q90" s="134" t="s">
        <v>115</v>
      </c>
      <c r="R90" s="134" t="s">
        <v>115</v>
      </c>
      <c r="S90" s="134" t="s">
        <v>115</v>
      </c>
      <c r="T90" s="134"/>
      <c r="U90" s="134" t="s">
        <v>115</v>
      </c>
      <c r="V90" s="134" t="s">
        <v>115</v>
      </c>
      <c r="W90" s="134" t="s">
        <v>115</v>
      </c>
      <c r="X90" s="90" t="s">
        <v>1999</v>
      </c>
      <c r="Y90" s="90" t="s">
        <v>117</v>
      </c>
      <c r="Z90" s="252">
        <v>449.93</v>
      </c>
      <c r="AA90" s="252"/>
      <c r="AB90" s="252">
        <v>450</v>
      </c>
      <c r="AC90" s="252">
        <v>91.8</v>
      </c>
      <c r="AD90" s="252"/>
      <c r="AE90" s="252">
        <v>92</v>
      </c>
      <c r="AF90" s="252"/>
      <c r="AG90" s="252"/>
      <c r="AH90" s="252"/>
      <c r="AI90" s="252">
        <v>11.17</v>
      </c>
      <c r="AJ90" s="252"/>
      <c r="AK90" s="252">
        <v>11</v>
      </c>
      <c r="AL90" s="252">
        <v>3000</v>
      </c>
      <c r="AM90" s="252"/>
      <c r="AN90" s="252"/>
      <c r="AO90" s="252"/>
      <c r="AP90" s="252">
        <v>3000</v>
      </c>
      <c r="AQ90" s="90"/>
      <c r="AR90" s="112" t="s">
        <v>1198</v>
      </c>
      <c r="AS90" s="86" t="s">
        <v>1199</v>
      </c>
      <c r="AT90" s="87" t="s">
        <v>2000</v>
      </c>
      <c r="AU90" s="35" t="s">
        <v>359</v>
      </c>
      <c r="AV90" s="93"/>
      <c r="AW90" s="157"/>
      <c r="AX90" s="158" t="s">
        <v>1997</v>
      </c>
      <c r="AY90" s="158" t="s">
        <v>1978</v>
      </c>
      <c r="AZ90" s="158" t="str">
        <f t="shared" si="118"/>
        <v>交通公路</v>
      </c>
      <c r="BA90" s="158" t="str">
        <f t="shared" si="119"/>
        <v>公路</v>
      </c>
      <c r="BB90" s="159"/>
      <c r="BC90" s="160"/>
      <c r="BD90" s="157"/>
      <c r="BE90" s="157"/>
      <c r="BF90" s="157"/>
      <c r="BG90" s="157"/>
      <c r="BH90" s="157"/>
      <c r="BI90" s="181"/>
      <c r="BJ90" s="157" t="str">
        <f t="shared" si="120"/>
        <v>钦南区人民政府1月</v>
      </c>
      <c r="BK90" s="157" t="s">
        <v>205</v>
      </c>
      <c r="BL90" s="157" t="s">
        <v>1980</v>
      </c>
      <c r="BM90" s="201" t="str">
        <f t="shared" si="121"/>
        <v>政府钦南区人民政府</v>
      </c>
      <c r="BN90" s="201" t="str">
        <f t="shared" si="122"/>
        <v>基础设施钦南区人民政府</v>
      </c>
      <c r="BO90" s="201">
        <f t="shared" si="123"/>
        <v>0</v>
      </c>
      <c r="BP90" s="157"/>
      <c r="BQ90" s="157">
        <f t="shared" si="124"/>
        <v>1</v>
      </c>
      <c r="BR90" s="157">
        <f t="shared" si="125"/>
        <v>0</v>
      </c>
      <c r="BS90" s="157">
        <f t="shared" si="126"/>
        <v>1</v>
      </c>
      <c r="BT90" s="157">
        <f t="shared" si="127"/>
        <v>1</v>
      </c>
      <c r="BU90" s="157">
        <f t="shared" si="128"/>
        <v>1</v>
      </c>
      <c r="BV90" s="181"/>
      <c r="BW90" s="206"/>
      <c r="BY90" s="4"/>
      <c r="BZ90" s="4"/>
      <c r="CA90" s="4"/>
      <c r="CB90" s="4"/>
      <c r="CC90" s="4"/>
    </row>
    <row r="91" ht="60" customHeight="1" spans="1:81">
      <c r="A91" s="23">
        <f>SUBTOTAL(3,C$10:C91)</f>
        <v>70</v>
      </c>
      <c r="B91" s="55" t="s">
        <v>1200</v>
      </c>
      <c r="C91" s="35" t="s">
        <v>79</v>
      </c>
      <c r="D91" s="55" t="s">
        <v>1201</v>
      </c>
      <c r="E91" s="35">
        <v>2019</v>
      </c>
      <c r="F91" s="36">
        <v>2020.8</v>
      </c>
      <c r="G91" s="36"/>
      <c r="H91" s="81" t="s">
        <v>122</v>
      </c>
      <c r="I91" s="81"/>
      <c r="J91" s="37">
        <v>500</v>
      </c>
      <c r="K91" s="37">
        <v>1500</v>
      </c>
      <c r="L91" s="36">
        <v>2020.8</v>
      </c>
      <c r="M91" s="36"/>
      <c r="N91" s="112" t="s">
        <v>1202</v>
      </c>
      <c r="O91" s="111"/>
      <c r="P91" s="67"/>
      <c r="Q91" s="134" t="s">
        <v>115</v>
      </c>
      <c r="R91" s="134" t="s">
        <v>115</v>
      </c>
      <c r="S91" s="134" t="s">
        <v>115</v>
      </c>
      <c r="T91" s="134"/>
      <c r="U91" s="134" t="s">
        <v>115</v>
      </c>
      <c r="V91" s="134" t="s">
        <v>115</v>
      </c>
      <c r="W91" s="134" t="s">
        <v>115</v>
      </c>
      <c r="X91" s="90" t="s">
        <v>1999</v>
      </c>
      <c r="Y91" s="90" t="s">
        <v>117</v>
      </c>
      <c r="Z91" s="252">
        <v>449.93</v>
      </c>
      <c r="AA91" s="252"/>
      <c r="AB91" s="252">
        <v>450</v>
      </c>
      <c r="AC91" s="252">
        <v>91.8</v>
      </c>
      <c r="AD91" s="252"/>
      <c r="AE91" s="252">
        <v>92</v>
      </c>
      <c r="AF91" s="252"/>
      <c r="AG91" s="252"/>
      <c r="AH91" s="252"/>
      <c r="AI91" s="252">
        <v>11.17</v>
      </c>
      <c r="AJ91" s="252"/>
      <c r="AK91" s="252">
        <v>11</v>
      </c>
      <c r="AL91" s="252">
        <v>3000</v>
      </c>
      <c r="AM91" s="252"/>
      <c r="AN91" s="252"/>
      <c r="AO91" s="252"/>
      <c r="AP91" s="252">
        <v>3000</v>
      </c>
      <c r="AQ91" s="90"/>
      <c r="AR91" s="34" t="s">
        <v>1203</v>
      </c>
      <c r="AS91" s="86" t="s">
        <v>1199</v>
      </c>
      <c r="AT91" s="87" t="s">
        <v>2000</v>
      </c>
      <c r="AU91" s="35" t="s">
        <v>359</v>
      </c>
      <c r="AV91" s="93"/>
      <c r="AW91" s="157"/>
      <c r="AX91" s="158" t="s">
        <v>1997</v>
      </c>
      <c r="AY91" s="158" t="s">
        <v>1978</v>
      </c>
      <c r="AZ91" s="158" t="str">
        <f t="shared" si="118"/>
        <v>交通公路</v>
      </c>
      <c r="BA91" s="158" t="str">
        <f t="shared" si="119"/>
        <v>公路</v>
      </c>
      <c r="BB91" s="159"/>
      <c r="BC91" s="160"/>
      <c r="BD91" s="157"/>
      <c r="BE91" s="157"/>
      <c r="BF91" s="157"/>
      <c r="BG91" s="157"/>
      <c r="BH91" s="157"/>
      <c r="BI91" s="181"/>
      <c r="BJ91" s="157" t="str">
        <f t="shared" si="120"/>
        <v>钦南区人民政府6月</v>
      </c>
      <c r="BK91" s="157" t="s">
        <v>205</v>
      </c>
      <c r="BL91" s="157" t="s">
        <v>1980</v>
      </c>
      <c r="BM91" s="201" t="str">
        <f t="shared" si="121"/>
        <v>政府钦南区人民政府</v>
      </c>
      <c r="BN91" s="201" t="str">
        <f t="shared" si="122"/>
        <v>基础设施钦南区人民政府</v>
      </c>
      <c r="BO91" s="201">
        <f t="shared" si="123"/>
        <v>0</v>
      </c>
      <c r="BP91" s="157"/>
      <c r="BQ91" s="157">
        <f t="shared" si="124"/>
        <v>1</v>
      </c>
      <c r="BR91" s="157">
        <f t="shared" si="125"/>
        <v>0</v>
      </c>
      <c r="BS91" s="157">
        <f t="shared" si="126"/>
        <v>1</v>
      </c>
      <c r="BT91" s="157">
        <f t="shared" si="127"/>
        <v>1</v>
      </c>
      <c r="BU91" s="157">
        <f t="shared" si="128"/>
        <v>1</v>
      </c>
      <c r="BV91" s="181"/>
      <c r="BW91" s="206"/>
      <c r="BY91" s="4"/>
      <c r="BZ91" s="4"/>
      <c r="CA91" s="4"/>
      <c r="CB91" s="4"/>
      <c r="CC91" s="4"/>
    </row>
    <row r="92" ht="60" customHeight="1" spans="1:81">
      <c r="A92" s="23">
        <f>SUBTOTAL(3,C$10:C92)</f>
        <v>71</v>
      </c>
      <c r="B92" s="60" t="s">
        <v>1204</v>
      </c>
      <c r="C92" s="23" t="s">
        <v>79</v>
      </c>
      <c r="D92" s="88" t="s">
        <v>1205</v>
      </c>
      <c r="E92" s="23" t="s">
        <v>112</v>
      </c>
      <c r="F92" s="67">
        <v>1000</v>
      </c>
      <c r="G92" s="67"/>
      <c r="H92" s="67" t="s">
        <v>122</v>
      </c>
      <c r="I92" s="67"/>
      <c r="J92" s="37">
        <v>600</v>
      </c>
      <c r="K92" s="37">
        <v>860</v>
      </c>
      <c r="L92" s="67">
        <v>1000</v>
      </c>
      <c r="M92" s="67"/>
      <c r="N92" s="123" t="s">
        <v>1206</v>
      </c>
      <c r="O92" s="111"/>
      <c r="P92" s="67"/>
      <c r="Q92" s="134" t="s">
        <v>115</v>
      </c>
      <c r="R92" s="134" t="s">
        <v>115</v>
      </c>
      <c r="S92" s="134" t="s">
        <v>115</v>
      </c>
      <c r="T92" s="134"/>
      <c r="U92" s="134" t="s">
        <v>115</v>
      </c>
      <c r="V92" s="134" t="s">
        <v>115</v>
      </c>
      <c r="W92" s="134" t="s">
        <v>115</v>
      </c>
      <c r="X92" s="90" t="s">
        <v>1999</v>
      </c>
      <c r="Y92" s="90" t="s">
        <v>117</v>
      </c>
      <c r="Z92" s="252">
        <v>449.93</v>
      </c>
      <c r="AA92" s="252"/>
      <c r="AB92" s="252">
        <v>450</v>
      </c>
      <c r="AC92" s="252">
        <v>91.8</v>
      </c>
      <c r="AD92" s="252"/>
      <c r="AE92" s="252">
        <v>92</v>
      </c>
      <c r="AF92" s="252"/>
      <c r="AG92" s="252"/>
      <c r="AH92" s="252"/>
      <c r="AI92" s="252">
        <v>11.17</v>
      </c>
      <c r="AJ92" s="252"/>
      <c r="AK92" s="252">
        <v>11</v>
      </c>
      <c r="AL92" s="252">
        <v>3000</v>
      </c>
      <c r="AM92" s="252"/>
      <c r="AN92" s="252"/>
      <c r="AO92" s="252"/>
      <c r="AP92" s="252">
        <v>3000</v>
      </c>
      <c r="AQ92" s="90"/>
      <c r="AR92" s="112" t="s">
        <v>117</v>
      </c>
      <c r="AS92" s="86" t="s">
        <v>1199</v>
      </c>
      <c r="AT92" s="87" t="s">
        <v>2000</v>
      </c>
      <c r="AU92" s="35" t="s">
        <v>359</v>
      </c>
      <c r="AV92" s="93"/>
      <c r="AW92" s="157"/>
      <c r="AX92" s="158" t="s">
        <v>1997</v>
      </c>
      <c r="AY92" s="158" t="s">
        <v>1978</v>
      </c>
      <c r="AZ92" s="158" t="str">
        <f t="shared" si="118"/>
        <v>交通公路</v>
      </c>
      <c r="BA92" s="158" t="str">
        <f t="shared" si="119"/>
        <v>公路</v>
      </c>
      <c r="BB92" s="159"/>
      <c r="BC92" s="160"/>
      <c r="BD92" s="157"/>
      <c r="BE92" s="157"/>
      <c r="BF92" s="157"/>
      <c r="BG92" s="157"/>
      <c r="BH92" s="157"/>
      <c r="BI92" s="181"/>
      <c r="BJ92" s="157" t="str">
        <f t="shared" si="120"/>
        <v>钦南区人民政府6月</v>
      </c>
      <c r="BK92" s="157" t="s">
        <v>205</v>
      </c>
      <c r="BL92" s="157" t="s">
        <v>1980</v>
      </c>
      <c r="BM92" s="201" t="str">
        <f t="shared" si="121"/>
        <v>政府钦南区人民政府</v>
      </c>
      <c r="BN92" s="201" t="str">
        <f t="shared" si="122"/>
        <v>基础设施钦南区人民政府</v>
      </c>
      <c r="BO92" s="201">
        <f t="shared" si="123"/>
        <v>0</v>
      </c>
      <c r="BP92" s="157"/>
      <c r="BQ92" s="157">
        <f t="shared" si="124"/>
        <v>1</v>
      </c>
      <c r="BR92" s="157">
        <f t="shared" si="125"/>
        <v>0</v>
      </c>
      <c r="BS92" s="157">
        <f t="shared" si="126"/>
        <v>1</v>
      </c>
      <c r="BT92" s="157">
        <f t="shared" si="127"/>
        <v>1</v>
      </c>
      <c r="BU92" s="157">
        <f t="shared" si="128"/>
        <v>1</v>
      </c>
      <c r="BV92" s="181"/>
      <c r="BW92" s="206"/>
      <c r="BY92" s="4"/>
      <c r="BZ92" s="4"/>
      <c r="CA92" s="4"/>
      <c r="CB92" s="4"/>
      <c r="CC92" s="4"/>
    </row>
    <row r="93" ht="66.75" customHeight="1" spans="1:81">
      <c r="A93" s="23">
        <f>SUBTOTAL(3,C$10:C93)</f>
        <v>72</v>
      </c>
      <c r="B93" s="55" t="s">
        <v>1211</v>
      </c>
      <c r="C93" s="23" t="s">
        <v>79</v>
      </c>
      <c r="D93" s="55" t="s">
        <v>1212</v>
      </c>
      <c r="E93" s="35" t="s">
        <v>112</v>
      </c>
      <c r="F93" s="38">
        <v>5405</v>
      </c>
      <c r="G93" s="38"/>
      <c r="H93" s="81" t="s">
        <v>195</v>
      </c>
      <c r="I93" s="81"/>
      <c r="J93" s="37">
        <v>500</v>
      </c>
      <c r="K93" s="37">
        <v>1200</v>
      </c>
      <c r="L93" s="38">
        <v>2000</v>
      </c>
      <c r="M93" s="38"/>
      <c r="N93" s="112" t="s">
        <v>1213</v>
      </c>
      <c r="O93" s="56"/>
      <c r="P93" s="76"/>
      <c r="Q93" s="115"/>
      <c r="R93" s="132" t="s">
        <v>115</v>
      </c>
      <c r="S93" s="132"/>
      <c r="T93" s="132"/>
      <c r="U93" s="132" t="s">
        <v>115</v>
      </c>
      <c r="V93" s="115"/>
      <c r="W93" s="115"/>
      <c r="X93" s="90" t="s">
        <v>2001</v>
      </c>
      <c r="Y93" s="90" t="s">
        <v>2002</v>
      </c>
      <c r="Z93" s="132"/>
      <c r="AA93" s="132"/>
      <c r="AB93" s="132"/>
      <c r="AC93" s="132"/>
      <c r="AD93" s="132"/>
      <c r="AE93" s="132"/>
      <c r="AF93" s="132"/>
      <c r="AG93" s="132"/>
      <c r="AH93" s="132"/>
      <c r="AI93" s="132"/>
      <c r="AJ93" s="132"/>
      <c r="AK93" s="132"/>
      <c r="AL93" s="132"/>
      <c r="AM93" s="132"/>
      <c r="AN93" s="132"/>
      <c r="AO93" s="132"/>
      <c r="AP93" s="132"/>
      <c r="AQ93" s="90"/>
      <c r="AR93" s="112" t="s">
        <v>1214</v>
      </c>
      <c r="AS93" s="34" t="s">
        <v>1215</v>
      </c>
      <c r="AT93" s="35" t="s">
        <v>2003</v>
      </c>
      <c r="AU93" s="35" t="s">
        <v>375</v>
      </c>
      <c r="AV93" s="93"/>
      <c r="AW93" s="157"/>
      <c r="AX93" s="158" t="s">
        <v>1997</v>
      </c>
      <c r="AY93" s="158" t="s">
        <v>1978</v>
      </c>
      <c r="AZ93" s="158" t="str">
        <f t="shared" si="118"/>
        <v>交通公路</v>
      </c>
      <c r="BA93" s="158" t="str">
        <f t="shared" si="119"/>
        <v>公路</v>
      </c>
      <c r="BB93" s="159"/>
      <c r="BC93" s="160"/>
      <c r="BD93" s="157"/>
      <c r="BE93" s="157"/>
      <c r="BF93" s="157"/>
      <c r="BG93" s="157"/>
      <c r="BH93" s="157"/>
      <c r="BI93" s="181"/>
      <c r="BJ93" s="157" t="str">
        <f t="shared" si="120"/>
        <v>钦北区人民政府3月</v>
      </c>
      <c r="BK93" s="157" t="s">
        <v>205</v>
      </c>
      <c r="BL93" s="157" t="s">
        <v>1980</v>
      </c>
      <c r="BM93" s="201" t="str">
        <f t="shared" si="121"/>
        <v>政府钦北区人民政府</v>
      </c>
      <c r="BN93" s="201" t="str">
        <f t="shared" si="122"/>
        <v>基础设施钦北区人民政府</v>
      </c>
      <c r="BO93" s="201">
        <f t="shared" si="123"/>
        <v>0</v>
      </c>
      <c r="BP93" s="157"/>
      <c r="BQ93" s="157">
        <f t="shared" si="124"/>
        <v>0</v>
      </c>
      <c r="BR93" s="157">
        <f t="shared" si="125"/>
        <v>0</v>
      </c>
      <c r="BS93" s="157">
        <f t="shared" si="126"/>
        <v>0</v>
      </c>
      <c r="BT93" s="157">
        <f t="shared" si="127"/>
        <v>0</v>
      </c>
      <c r="BU93" s="157">
        <f t="shared" si="128"/>
        <v>0</v>
      </c>
      <c r="BV93" s="181"/>
      <c r="BW93" s="206"/>
      <c r="BX93" s="4" t="s">
        <v>2004</v>
      </c>
      <c r="BY93" s="4"/>
      <c r="BZ93" s="4"/>
      <c r="CA93" s="4"/>
      <c r="CB93" s="4"/>
      <c r="CC93" s="4"/>
    </row>
    <row r="94" ht="69.75" customHeight="1" spans="1:81">
      <c r="A94" s="23">
        <f>SUBTOTAL(3,C$10:C94)</f>
        <v>73</v>
      </c>
      <c r="B94" s="55" t="s">
        <v>1167</v>
      </c>
      <c r="C94" s="35" t="s">
        <v>79</v>
      </c>
      <c r="D94" s="55" t="s">
        <v>1168</v>
      </c>
      <c r="E94" s="35" t="s">
        <v>81</v>
      </c>
      <c r="F94" s="35">
        <v>78655</v>
      </c>
      <c r="G94" s="35"/>
      <c r="H94" s="81" t="s">
        <v>209</v>
      </c>
      <c r="I94" s="37">
        <v>500</v>
      </c>
      <c r="J94" s="37">
        <v>3500</v>
      </c>
      <c r="K94" s="37">
        <v>6000</v>
      </c>
      <c r="L94" s="35">
        <v>10000</v>
      </c>
      <c r="M94" s="35"/>
      <c r="N94" s="34" t="s">
        <v>2005</v>
      </c>
      <c r="O94" s="111"/>
      <c r="P94" s="67"/>
      <c r="Q94" s="115" t="s">
        <v>115</v>
      </c>
      <c r="R94" s="115" t="s">
        <v>115</v>
      </c>
      <c r="S94" s="115" t="s">
        <v>115</v>
      </c>
      <c r="T94" s="115" t="s">
        <v>115</v>
      </c>
      <c r="U94" s="115" t="s">
        <v>115</v>
      </c>
      <c r="V94" s="115" t="s">
        <v>115</v>
      </c>
      <c r="W94" s="115"/>
      <c r="X94" s="55" t="s">
        <v>2006</v>
      </c>
      <c r="Y94" s="55" t="s">
        <v>2007</v>
      </c>
      <c r="Z94" s="132">
        <v>1406.7</v>
      </c>
      <c r="AA94" s="132">
        <v>1406.7</v>
      </c>
      <c r="AB94" s="132"/>
      <c r="AC94" s="132"/>
      <c r="AD94" s="132"/>
      <c r="AE94" s="132"/>
      <c r="AF94" s="132"/>
      <c r="AG94" s="132"/>
      <c r="AH94" s="132"/>
      <c r="AI94" s="132">
        <v>1430</v>
      </c>
      <c r="AJ94" s="132">
        <v>1430</v>
      </c>
      <c r="AK94" s="132"/>
      <c r="AL94" s="132"/>
      <c r="AM94" s="132"/>
      <c r="AN94" s="132"/>
      <c r="AO94" s="132"/>
      <c r="AP94" s="132"/>
      <c r="AQ94" s="90"/>
      <c r="AR94" s="66" t="s">
        <v>1170</v>
      </c>
      <c r="AS94" s="34" t="s">
        <v>2008</v>
      </c>
      <c r="AT94" s="35" t="s">
        <v>2009</v>
      </c>
      <c r="AU94" s="67" t="s">
        <v>269</v>
      </c>
      <c r="AV94" s="93"/>
      <c r="AW94" s="157"/>
      <c r="AX94" s="158" t="s">
        <v>1997</v>
      </c>
      <c r="AY94" s="158" t="s">
        <v>1978</v>
      </c>
      <c r="AZ94" s="158" t="str">
        <f t="shared" si="118"/>
        <v>交通公路</v>
      </c>
      <c r="BA94" s="158" t="str">
        <f t="shared" si="119"/>
        <v>公路</v>
      </c>
      <c r="BB94" s="159"/>
      <c r="BC94" s="160"/>
      <c r="BD94" s="157"/>
      <c r="BE94" s="157"/>
      <c r="BF94" s="157"/>
      <c r="BG94" s="157"/>
      <c r="BH94" s="157"/>
      <c r="BI94" s="181"/>
      <c r="BJ94" s="157" t="str">
        <f t="shared" si="120"/>
        <v>灵山县人民政府8月</v>
      </c>
      <c r="BK94" s="157" t="s">
        <v>205</v>
      </c>
      <c r="BL94" s="157" t="s">
        <v>1980</v>
      </c>
      <c r="BM94" s="201" t="str">
        <f t="shared" si="121"/>
        <v>政府灵山县人民政府</v>
      </c>
      <c r="BN94" s="201" t="str">
        <f t="shared" si="122"/>
        <v>基础设施灵山县人民政府</v>
      </c>
      <c r="BO94" s="201">
        <f t="shared" si="123"/>
        <v>0</v>
      </c>
      <c r="BP94" s="157"/>
      <c r="BQ94" s="157">
        <f t="shared" si="124"/>
        <v>1</v>
      </c>
      <c r="BR94" s="157">
        <f t="shared" si="125"/>
        <v>0</v>
      </c>
      <c r="BS94" s="157">
        <f t="shared" si="126"/>
        <v>0</v>
      </c>
      <c r="BT94" s="157">
        <f t="shared" si="127"/>
        <v>1</v>
      </c>
      <c r="BU94" s="157">
        <f t="shared" si="128"/>
        <v>0</v>
      </c>
      <c r="BV94" s="181"/>
      <c r="BW94" s="206"/>
      <c r="BX94" s="4" t="s">
        <v>1895</v>
      </c>
      <c r="BY94" s="4"/>
      <c r="BZ94" s="4"/>
      <c r="CA94" s="4"/>
      <c r="CB94" s="4"/>
      <c r="CC94" s="4"/>
    </row>
    <row r="95" ht="69.75" customHeight="1" spans="1:81">
      <c r="A95" s="23">
        <f>SUBTOTAL(3,C$10:C95)</f>
        <v>74</v>
      </c>
      <c r="B95" s="55" t="s">
        <v>1180</v>
      </c>
      <c r="C95" s="35" t="s">
        <v>79</v>
      </c>
      <c r="D95" s="55" t="s">
        <v>2010</v>
      </c>
      <c r="E95" s="35">
        <v>2019</v>
      </c>
      <c r="F95" s="38">
        <v>3000</v>
      </c>
      <c r="G95" s="38"/>
      <c r="H95" s="81" t="s">
        <v>244</v>
      </c>
      <c r="I95" s="37">
        <v>500</v>
      </c>
      <c r="J95" s="37">
        <v>1000</v>
      </c>
      <c r="K95" s="37">
        <v>2000</v>
      </c>
      <c r="L95" s="35">
        <v>3000</v>
      </c>
      <c r="M95" s="35"/>
      <c r="N95" s="34" t="s">
        <v>284</v>
      </c>
      <c r="O95" s="111"/>
      <c r="P95" s="67"/>
      <c r="Q95" s="115"/>
      <c r="R95" s="115"/>
      <c r="S95" s="115"/>
      <c r="T95" s="115"/>
      <c r="U95" s="115"/>
      <c r="V95" s="115"/>
      <c r="W95" s="115"/>
      <c r="X95" s="55"/>
      <c r="Y95" s="55"/>
      <c r="Z95" s="730">
        <v>152</v>
      </c>
      <c r="AA95" s="730"/>
      <c r="AB95" s="793">
        <v>152</v>
      </c>
      <c r="AC95" s="99"/>
      <c r="AD95" s="730"/>
      <c r="AE95" s="607"/>
      <c r="AF95" s="607"/>
      <c r="AG95" s="330"/>
      <c r="AH95" s="552"/>
      <c r="AI95" s="794"/>
      <c r="AJ95" s="165"/>
      <c r="AK95" s="733"/>
      <c r="AL95" s="733"/>
      <c r="AM95" s="733"/>
      <c r="AN95" s="733"/>
      <c r="AO95" s="729"/>
      <c r="AP95" s="99">
        <v>3000</v>
      </c>
      <c r="AQ95" s="90"/>
      <c r="AR95" s="34" t="s">
        <v>1182</v>
      </c>
      <c r="AS95" s="34" t="s">
        <v>785</v>
      </c>
      <c r="AT95" s="35" t="s">
        <v>2011</v>
      </c>
      <c r="AU95" s="35" t="s">
        <v>317</v>
      </c>
      <c r="AV95" s="93"/>
      <c r="AW95" s="157"/>
      <c r="AX95" s="158" t="s">
        <v>1997</v>
      </c>
      <c r="AY95" s="158" t="s">
        <v>1978</v>
      </c>
      <c r="AZ95" s="158" t="str">
        <f t="shared" si="118"/>
        <v>交通公路</v>
      </c>
      <c r="BA95" s="158" t="str">
        <f t="shared" si="119"/>
        <v>公路</v>
      </c>
      <c r="BB95" s="159"/>
      <c r="BC95" s="160"/>
      <c r="BD95" s="157"/>
      <c r="BE95" s="157"/>
      <c r="BF95" s="157"/>
      <c r="BG95" s="157"/>
      <c r="BH95" s="157"/>
      <c r="BI95" s="181"/>
      <c r="BJ95" s="157" t="str">
        <f t="shared" si="120"/>
        <v>浦北县人民政府1月</v>
      </c>
      <c r="BK95" s="157" t="s">
        <v>205</v>
      </c>
      <c r="BL95" s="157" t="s">
        <v>1980</v>
      </c>
      <c r="BM95" s="201" t="str">
        <f t="shared" si="121"/>
        <v>政府浦北县人民政府</v>
      </c>
      <c r="BN95" s="201" t="str">
        <f t="shared" si="122"/>
        <v>基础设施浦北县人民政府</v>
      </c>
      <c r="BO95" s="201">
        <f t="shared" si="123"/>
        <v>0</v>
      </c>
      <c r="BP95" s="157"/>
      <c r="BQ95" s="157">
        <f t="shared" si="124"/>
        <v>1</v>
      </c>
      <c r="BR95" s="157">
        <f t="shared" si="125"/>
        <v>0</v>
      </c>
      <c r="BS95" s="157">
        <f t="shared" si="126"/>
        <v>0</v>
      </c>
      <c r="BT95" s="157">
        <f t="shared" si="127"/>
        <v>0</v>
      </c>
      <c r="BU95" s="157">
        <f t="shared" si="128"/>
        <v>0</v>
      </c>
      <c r="BV95" s="181"/>
      <c r="BW95" s="206"/>
      <c r="BX95" s="4" t="s">
        <v>1895</v>
      </c>
      <c r="BY95" s="4"/>
      <c r="BZ95" s="4"/>
      <c r="CA95" s="4"/>
      <c r="CB95" s="4"/>
      <c r="CC95" s="4"/>
    </row>
    <row r="96" s="9" customFormat="1" ht="30" customHeight="1" spans="1:73">
      <c r="A96" s="551" t="s">
        <v>2012</v>
      </c>
      <c r="B96" s="557" t="str">
        <f>"城市基础设施（"&amp;SUBTOTAL(3,C97:C128)&amp;"个）"</f>
        <v>城市基础设施（27个）</v>
      </c>
      <c r="C96" s="557"/>
      <c r="D96" s="557"/>
      <c r="E96" s="557"/>
      <c r="F96" s="134">
        <f t="shared" ref="F96:M96" si="129">F97+F99+F114+F116+F121</f>
        <v>314776.46</v>
      </c>
      <c r="G96" s="134"/>
      <c r="H96" s="134"/>
      <c r="I96" s="134">
        <f t="shared" si="129"/>
        <v>6660.29</v>
      </c>
      <c r="J96" s="134">
        <f t="shared" si="129"/>
        <v>36391.17</v>
      </c>
      <c r="K96" s="134">
        <f t="shared" si="129"/>
        <v>75788.34</v>
      </c>
      <c r="L96" s="134">
        <f t="shared" si="129"/>
        <v>90881</v>
      </c>
      <c r="M96" s="134">
        <f t="shared" si="129"/>
        <v>0</v>
      </c>
      <c r="N96" s="591"/>
      <c r="O96" s="67"/>
      <c r="P96" s="67"/>
      <c r="Q96" s="115"/>
      <c r="R96" s="115"/>
      <c r="S96" s="115"/>
      <c r="T96" s="115"/>
      <c r="U96" s="115"/>
      <c r="V96" s="115"/>
      <c r="W96" s="115"/>
      <c r="X96" s="90"/>
      <c r="Y96" s="90"/>
      <c r="Z96" s="132"/>
      <c r="AA96" s="132"/>
      <c r="AB96" s="132"/>
      <c r="AC96" s="132"/>
      <c r="AD96" s="132"/>
      <c r="AE96" s="132"/>
      <c r="AF96" s="132"/>
      <c r="AG96" s="132"/>
      <c r="AH96" s="132"/>
      <c r="AI96" s="132"/>
      <c r="AJ96" s="132"/>
      <c r="AK96" s="132"/>
      <c r="AL96" s="132"/>
      <c r="AM96" s="132"/>
      <c r="AN96" s="132"/>
      <c r="AO96" s="132"/>
      <c r="AP96" s="132"/>
      <c r="AQ96" s="90"/>
      <c r="AR96" s="112"/>
      <c r="AS96" s="591"/>
      <c r="AT96" s="134"/>
      <c r="AU96" s="134"/>
      <c r="AV96" s="93"/>
      <c r="AW96" s="165"/>
      <c r="AX96" s="158"/>
      <c r="AY96" s="158"/>
      <c r="AZ96" s="158"/>
      <c r="BA96" s="158"/>
      <c r="BB96" s="169"/>
      <c r="BC96" s="165"/>
      <c r="BD96" s="165"/>
      <c r="BE96" s="165"/>
      <c r="BF96" s="169"/>
      <c r="BG96" s="169"/>
      <c r="BH96" s="169"/>
      <c r="BJ96" s="165"/>
      <c r="BK96" s="157"/>
      <c r="BL96" s="157"/>
      <c r="BN96" s="201"/>
      <c r="BO96" s="7"/>
      <c r="BP96" s="157"/>
      <c r="BQ96" s="157"/>
      <c r="BR96" s="157"/>
      <c r="BS96" s="157"/>
      <c r="BT96" s="157"/>
      <c r="BU96" s="157"/>
    </row>
    <row r="97" s="9" customFormat="1" ht="21.75" customHeight="1" spans="1:74">
      <c r="A97" s="551"/>
      <c r="B97" s="557" t="str">
        <f>"生态环保（"&amp;SUBTOTAL(3,C98:C98)&amp;"个）"</f>
        <v>生态环保（1个）</v>
      </c>
      <c r="C97" s="551"/>
      <c r="D97" s="554"/>
      <c r="E97" s="551"/>
      <c r="F97" s="134">
        <f t="shared" ref="F97:M97" si="130">SUBTOTAL(9,F98:F98)</f>
        <v>25307.8</v>
      </c>
      <c r="G97" s="134"/>
      <c r="H97" s="134"/>
      <c r="I97" s="134">
        <f t="shared" si="130"/>
        <v>0</v>
      </c>
      <c r="J97" s="134">
        <f t="shared" si="130"/>
        <v>0</v>
      </c>
      <c r="K97" s="134">
        <f t="shared" si="130"/>
        <v>0</v>
      </c>
      <c r="L97" s="134">
        <f t="shared" si="130"/>
        <v>5000</v>
      </c>
      <c r="M97" s="134">
        <f t="shared" si="130"/>
        <v>0</v>
      </c>
      <c r="N97" s="591"/>
      <c r="O97" s="134"/>
      <c r="P97" s="134"/>
      <c r="Q97" s="115"/>
      <c r="R97" s="115"/>
      <c r="S97" s="115"/>
      <c r="T97" s="115"/>
      <c r="U97" s="115"/>
      <c r="V97" s="115"/>
      <c r="W97" s="115"/>
      <c r="X97" s="90"/>
      <c r="Y97" s="90"/>
      <c r="Z97" s="132"/>
      <c r="AA97" s="132"/>
      <c r="AB97" s="132"/>
      <c r="AC97" s="132"/>
      <c r="AD97" s="132"/>
      <c r="AE97" s="132"/>
      <c r="AF97" s="132"/>
      <c r="AG97" s="132"/>
      <c r="AH97" s="132"/>
      <c r="AI97" s="132"/>
      <c r="AJ97" s="132"/>
      <c r="AK97" s="132"/>
      <c r="AL97" s="132"/>
      <c r="AM97" s="132"/>
      <c r="AN97" s="132"/>
      <c r="AO97" s="132"/>
      <c r="AP97" s="132"/>
      <c r="AQ97" s="90"/>
      <c r="AR97" s="112"/>
      <c r="AS97" s="591"/>
      <c r="AT97" s="134"/>
      <c r="AU97" s="134"/>
      <c r="AV97" s="93"/>
      <c r="AW97" s="165"/>
      <c r="AX97" s="158"/>
      <c r="AY97" s="158"/>
      <c r="AZ97" s="158"/>
      <c r="BA97" s="158"/>
      <c r="BB97" s="169"/>
      <c r="BC97" s="165"/>
      <c r="BD97" s="165"/>
      <c r="BE97" s="165"/>
      <c r="BF97" s="169"/>
      <c r="BG97" s="169"/>
      <c r="BH97" s="169"/>
      <c r="BI97" s="183"/>
      <c r="BJ97" s="165"/>
      <c r="BK97" s="157"/>
      <c r="BL97" s="157"/>
      <c r="BN97" s="201"/>
      <c r="BO97" s="7"/>
      <c r="BP97" s="157"/>
      <c r="BQ97" s="157"/>
      <c r="BR97" s="157"/>
      <c r="BS97" s="157"/>
      <c r="BT97" s="157"/>
      <c r="BU97" s="157"/>
      <c r="BV97" s="183"/>
    </row>
    <row r="98" ht="73.5" customHeight="1" spans="1:81">
      <c r="A98" s="23">
        <f>SUBTOTAL(3,C$10:C98)</f>
        <v>75</v>
      </c>
      <c r="B98" s="55" t="s">
        <v>1226</v>
      </c>
      <c r="C98" s="35" t="s">
        <v>79</v>
      </c>
      <c r="D98" s="55" t="s">
        <v>1227</v>
      </c>
      <c r="E98" s="35" t="s">
        <v>112</v>
      </c>
      <c r="F98" s="36">
        <v>25307.8</v>
      </c>
      <c r="G98" s="36"/>
      <c r="H98" s="81" t="s">
        <v>113</v>
      </c>
      <c r="I98" s="81"/>
      <c r="J98" s="81"/>
      <c r="K98" s="81"/>
      <c r="L98" s="36">
        <v>5000</v>
      </c>
      <c r="M98" s="36"/>
      <c r="N98" s="112" t="s">
        <v>1228</v>
      </c>
      <c r="O98" s="67"/>
      <c r="P98" s="67"/>
      <c r="Q98" s="134" t="s">
        <v>115</v>
      </c>
      <c r="R98" s="134" t="s">
        <v>115</v>
      </c>
      <c r="S98" s="134" t="s">
        <v>115</v>
      </c>
      <c r="T98" s="134" t="s">
        <v>115</v>
      </c>
      <c r="U98" s="134" t="s">
        <v>115</v>
      </c>
      <c r="V98" s="115"/>
      <c r="W98" s="115"/>
      <c r="X98" s="55" t="s">
        <v>2013</v>
      </c>
      <c r="Y98" s="90" t="s">
        <v>2014</v>
      </c>
      <c r="Z98" s="132"/>
      <c r="AA98" s="132"/>
      <c r="AB98" s="132"/>
      <c r="AC98" s="132"/>
      <c r="AD98" s="132"/>
      <c r="AE98" s="132"/>
      <c r="AF98" s="132"/>
      <c r="AG98" s="132"/>
      <c r="AH98" s="132"/>
      <c r="AI98" s="132"/>
      <c r="AJ98" s="132"/>
      <c r="AK98" s="132"/>
      <c r="AL98" s="132">
        <v>5000</v>
      </c>
      <c r="AM98" s="132"/>
      <c r="AN98" s="132"/>
      <c r="AO98" s="132"/>
      <c r="AP98" s="132">
        <v>5000</v>
      </c>
      <c r="AQ98" s="90"/>
      <c r="AR98" s="112" t="s">
        <v>1229</v>
      </c>
      <c r="AS98" s="34" t="s">
        <v>455</v>
      </c>
      <c r="AT98" s="36" t="s">
        <v>2015</v>
      </c>
      <c r="AU98" s="35" t="s">
        <v>986</v>
      </c>
      <c r="AV98" s="93"/>
      <c r="AW98" s="157"/>
      <c r="AX98" s="158" t="s">
        <v>2016</v>
      </c>
      <c r="AY98" s="158" t="s">
        <v>2017</v>
      </c>
      <c r="AZ98" s="158" t="str">
        <f>AY98&amp;AX98</f>
        <v>城市基础设施生态环保</v>
      </c>
      <c r="BA98" s="158" t="s">
        <v>2018</v>
      </c>
      <c r="BB98" s="159"/>
      <c r="BC98" s="160"/>
      <c r="BD98" s="157"/>
      <c r="BE98" s="157"/>
      <c r="BF98" s="157"/>
      <c r="BG98" s="157"/>
      <c r="BH98" s="157"/>
      <c r="BI98" s="181"/>
      <c r="BJ98" s="157" t="str">
        <f>AU98&amp;H98</f>
        <v>市城管执法局9月</v>
      </c>
      <c r="BK98" s="157" t="s">
        <v>205</v>
      </c>
      <c r="BL98" s="157" t="s">
        <v>1980</v>
      </c>
      <c r="BM98" s="201" t="str">
        <f>BK98&amp;AU98</f>
        <v>政府市城管执法局</v>
      </c>
      <c r="BN98" s="201" t="str">
        <f>BL98&amp;AU98</f>
        <v>基础设施市城管执法局</v>
      </c>
      <c r="BO98" s="201"/>
      <c r="BP98" s="157"/>
      <c r="BQ98" s="157">
        <f>IF(Z98&gt;0,1,0)</f>
        <v>0</v>
      </c>
      <c r="BR98" s="157">
        <f>IF(AF98&gt;0,1,0)</f>
        <v>0</v>
      </c>
      <c r="BS98" s="157">
        <f>IF(AC98&gt;0,1,0)</f>
        <v>0</v>
      </c>
      <c r="BT98" s="157">
        <f>IF(AI98&gt;0,1,0)</f>
        <v>0</v>
      </c>
      <c r="BU98" s="157">
        <f>IF(AL98&gt;0,1,0)</f>
        <v>1</v>
      </c>
      <c r="BV98" s="181"/>
      <c r="BW98" s="206"/>
      <c r="BY98" s="4"/>
      <c r="BZ98" s="4"/>
      <c r="CA98" s="4"/>
      <c r="CB98" s="4"/>
      <c r="CC98" s="4"/>
    </row>
    <row r="99" s="9" customFormat="1" ht="25.9" customHeight="1" spans="1:74">
      <c r="A99" s="788"/>
      <c r="B99" s="557" t="str">
        <f>"路网工程（"&amp;SUBTOTAL(3,C100:C113)&amp;"个）"</f>
        <v>路网工程（14个）</v>
      </c>
      <c r="C99" s="551"/>
      <c r="D99" s="554"/>
      <c r="E99" s="551"/>
      <c r="F99" s="134">
        <f t="shared" ref="F99:M99" si="131">SUBTOTAL(9,F100:F113)</f>
        <v>107475</v>
      </c>
      <c r="G99" s="134"/>
      <c r="H99" s="134"/>
      <c r="I99" s="134">
        <f t="shared" si="131"/>
        <v>3780.29</v>
      </c>
      <c r="J99" s="134">
        <f t="shared" si="131"/>
        <v>11733.17</v>
      </c>
      <c r="K99" s="134">
        <f t="shared" si="131"/>
        <v>20074.34</v>
      </c>
      <c r="L99" s="134">
        <f t="shared" si="131"/>
        <v>33561</v>
      </c>
      <c r="M99" s="134">
        <f t="shared" si="131"/>
        <v>0</v>
      </c>
      <c r="N99" s="591"/>
      <c r="O99" s="134"/>
      <c r="P99" s="134"/>
      <c r="Q99" s="115"/>
      <c r="R99" s="115"/>
      <c r="S99" s="115"/>
      <c r="T99" s="115"/>
      <c r="U99" s="115"/>
      <c r="V99" s="115"/>
      <c r="W99" s="115"/>
      <c r="X99" s="90"/>
      <c r="Y99" s="90"/>
      <c r="Z99" s="132"/>
      <c r="AA99" s="132"/>
      <c r="AB99" s="132"/>
      <c r="AC99" s="132"/>
      <c r="AD99" s="132"/>
      <c r="AE99" s="132"/>
      <c r="AF99" s="132"/>
      <c r="AG99" s="132"/>
      <c r="AH99" s="132"/>
      <c r="AI99" s="132"/>
      <c r="AJ99" s="132"/>
      <c r="AK99" s="132"/>
      <c r="AL99" s="132"/>
      <c r="AM99" s="132"/>
      <c r="AN99" s="132"/>
      <c r="AO99" s="132"/>
      <c r="AP99" s="132"/>
      <c r="AQ99" s="90"/>
      <c r="AR99" s="112"/>
      <c r="AS99" s="591"/>
      <c r="AT99" s="134"/>
      <c r="AU99" s="134"/>
      <c r="AV99" s="93"/>
      <c r="AW99" s="165"/>
      <c r="AX99" s="158"/>
      <c r="AY99" s="158"/>
      <c r="AZ99" s="158"/>
      <c r="BA99" s="158"/>
      <c r="BB99" s="169"/>
      <c r="BC99" s="165"/>
      <c r="BD99" s="165"/>
      <c r="BE99" s="165"/>
      <c r="BF99" s="169"/>
      <c r="BG99" s="169"/>
      <c r="BH99" s="169"/>
      <c r="BI99" s="183"/>
      <c r="BJ99" s="165"/>
      <c r="BK99" s="157"/>
      <c r="BL99" s="157"/>
      <c r="BN99" s="201"/>
      <c r="BO99" s="7"/>
      <c r="BP99" s="157"/>
      <c r="BQ99" s="157"/>
      <c r="BR99" s="157"/>
      <c r="BS99" s="157"/>
      <c r="BT99" s="157"/>
      <c r="BU99" s="157"/>
      <c r="BV99" s="183"/>
    </row>
    <row r="100" ht="81" customHeight="1" spans="1:81">
      <c r="A100" s="23">
        <f>SUBTOTAL(3,C$10:C100)</f>
        <v>76</v>
      </c>
      <c r="B100" s="55" t="s">
        <v>1252</v>
      </c>
      <c r="C100" s="35" t="s">
        <v>79</v>
      </c>
      <c r="D100" s="55" t="s">
        <v>1253</v>
      </c>
      <c r="E100" s="35" t="s">
        <v>81</v>
      </c>
      <c r="F100" s="35">
        <v>14118</v>
      </c>
      <c r="G100" s="35"/>
      <c r="H100" s="81" t="s">
        <v>131</v>
      </c>
      <c r="I100" s="81"/>
      <c r="J100" s="81"/>
      <c r="K100" s="81"/>
      <c r="L100" s="36">
        <v>2000</v>
      </c>
      <c r="M100" s="36"/>
      <c r="N100" s="112" t="s">
        <v>284</v>
      </c>
      <c r="O100" s="111"/>
      <c r="P100" s="67"/>
      <c r="Q100" s="134" t="s">
        <v>115</v>
      </c>
      <c r="R100" s="134" t="s">
        <v>115</v>
      </c>
      <c r="S100" s="134" t="s">
        <v>115</v>
      </c>
      <c r="T100" s="134" t="s">
        <v>115</v>
      </c>
      <c r="U100" s="134" t="s">
        <v>115</v>
      </c>
      <c r="V100" s="115"/>
      <c r="W100" s="115"/>
      <c r="X100" s="171" t="s">
        <v>2019</v>
      </c>
      <c r="Y100" s="90" t="s">
        <v>202</v>
      </c>
      <c r="Z100" s="132">
        <v>115</v>
      </c>
      <c r="AA100" s="132"/>
      <c r="AB100" s="132">
        <v>115</v>
      </c>
      <c r="AC100" s="132"/>
      <c r="AD100" s="132"/>
      <c r="AE100" s="132"/>
      <c r="AF100" s="132"/>
      <c r="AG100" s="132"/>
      <c r="AH100" s="132"/>
      <c r="AI100" s="132">
        <v>15</v>
      </c>
      <c r="AJ100" s="132"/>
      <c r="AK100" s="132">
        <v>15</v>
      </c>
      <c r="AL100" s="132">
        <v>2000</v>
      </c>
      <c r="AM100" s="132"/>
      <c r="AN100" s="132"/>
      <c r="AO100" s="132"/>
      <c r="AP100" s="132">
        <v>2000</v>
      </c>
      <c r="AQ100" s="90"/>
      <c r="AR100" s="112" t="s">
        <v>1254</v>
      </c>
      <c r="AS100" s="34" t="s">
        <v>455</v>
      </c>
      <c r="AT100" s="36" t="s">
        <v>2015</v>
      </c>
      <c r="AU100" s="170" t="s">
        <v>979</v>
      </c>
      <c r="AV100" s="93"/>
      <c r="AW100" s="157"/>
      <c r="AX100" s="158" t="s">
        <v>2020</v>
      </c>
      <c r="AY100" s="158" t="s">
        <v>2017</v>
      </c>
      <c r="AZ100" s="158" t="str">
        <f t="shared" ref="AZ100:AZ113" si="132">AY100&amp;AX100</f>
        <v>城市基础设施路网工程</v>
      </c>
      <c r="BA100" s="158" t="s">
        <v>2021</v>
      </c>
      <c r="BB100" s="159"/>
      <c r="BC100" s="160"/>
      <c r="BD100" s="157"/>
      <c r="BE100" s="157"/>
      <c r="BF100" s="157"/>
      <c r="BG100" s="157"/>
      <c r="BH100" s="157"/>
      <c r="BI100" s="181"/>
      <c r="BJ100" s="157" t="str">
        <f t="shared" ref="BJ100:BJ113" si="133">AU100&amp;H100</f>
        <v>市住房城乡建设局12月</v>
      </c>
      <c r="BK100" s="157" t="s">
        <v>205</v>
      </c>
      <c r="BL100" s="157" t="s">
        <v>1980</v>
      </c>
      <c r="BM100" s="201" t="str">
        <f t="shared" ref="BM100:BM113" si="134">BK100&amp;AU100</f>
        <v>政府市住房城乡建设局</v>
      </c>
      <c r="BN100" s="201" t="str">
        <f t="shared" ref="BN100:BN113" si="135">BL100&amp;AU100</f>
        <v>基础设施市住房城乡建设局</v>
      </c>
      <c r="BO100" s="201">
        <f t="shared" ref="BO100:BO113" si="136">IF(O100&gt;0,1,0)</f>
        <v>0</v>
      </c>
      <c r="BP100" s="157"/>
      <c r="BQ100" s="157">
        <f t="shared" ref="BQ100:BQ113" si="137">IF(Z100&gt;0,1,0)</f>
        <v>1</v>
      </c>
      <c r="BR100" s="157">
        <f t="shared" ref="BR100:BR113" si="138">IF(AF100&gt;0,1,0)</f>
        <v>0</v>
      </c>
      <c r="BS100" s="157">
        <f t="shared" ref="BS100:BS113" si="139">IF(AC100&gt;0,1,0)</f>
        <v>0</v>
      </c>
      <c r="BT100" s="157">
        <f t="shared" ref="BT100:BT113" si="140">IF(AI100&gt;0,1,0)</f>
        <v>1</v>
      </c>
      <c r="BU100" s="157">
        <f t="shared" ref="BU100:BU113" si="141">IF(AL100&gt;0,1,0)</f>
        <v>1</v>
      </c>
      <c r="BV100" s="181"/>
      <c r="BW100" s="206"/>
      <c r="BX100" s="4" t="s">
        <v>1917</v>
      </c>
      <c r="BY100" s="4"/>
      <c r="BZ100" s="4"/>
      <c r="CA100" s="4"/>
      <c r="CB100" s="4"/>
      <c r="CC100" s="4"/>
    </row>
    <row r="101" ht="81" customHeight="1" spans="1:81">
      <c r="A101" s="23">
        <f>SUBTOTAL(3,C$10:C101)</f>
        <v>77</v>
      </c>
      <c r="B101" s="55" t="s">
        <v>1234</v>
      </c>
      <c r="C101" s="35" t="s">
        <v>79</v>
      </c>
      <c r="D101" s="55" t="s">
        <v>2022</v>
      </c>
      <c r="E101" s="35">
        <v>2019</v>
      </c>
      <c r="F101" s="35">
        <v>5492</v>
      </c>
      <c r="G101" s="35"/>
      <c r="H101" s="81" t="s">
        <v>244</v>
      </c>
      <c r="I101" s="37">
        <v>3000</v>
      </c>
      <c r="J101" s="37">
        <v>5492</v>
      </c>
      <c r="K101" s="37">
        <v>5492</v>
      </c>
      <c r="L101" s="36">
        <v>5492</v>
      </c>
      <c r="M101" s="36"/>
      <c r="N101" s="112" t="s">
        <v>1012</v>
      </c>
      <c r="O101" s="111"/>
      <c r="P101" s="67"/>
      <c r="Q101" s="134" t="s">
        <v>115</v>
      </c>
      <c r="R101" s="134"/>
      <c r="S101" s="134"/>
      <c r="T101" s="134"/>
      <c r="U101" s="134"/>
      <c r="V101" s="134" t="s">
        <v>115</v>
      </c>
      <c r="W101" s="134" t="s">
        <v>115</v>
      </c>
      <c r="X101" s="171" t="s">
        <v>2023</v>
      </c>
      <c r="Y101" s="90" t="s">
        <v>2024</v>
      </c>
      <c r="Z101" s="132"/>
      <c r="AA101" s="132"/>
      <c r="AB101" s="132"/>
      <c r="AC101" s="132"/>
      <c r="AD101" s="132"/>
      <c r="AE101" s="132"/>
      <c r="AF101" s="132"/>
      <c r="AG101" s="132"/>
      <c r="AH101" s="132"/>
      <c r="AI101" s="132"/>
      <c r="AJ101" s="132"/>
      <c r="AK101" s="132"/>
      <c r="AL101" s="132">
        <v>5492</v>
      </c>
      <c r="AM101" s="132"/>
      <c r="AN101" s="132"/>
      <c r="AO101" s="132">
        <v>1500</v>
      </c>
      <c r="AP101" s="132">
        <f>AL101-AO101</f>
        <v>3992</v>
      </c>
      <c r="AQ101" s="90"/>
      <c r="AR101" s="112" t="s">
        <v>117</v>
      </c>
      <c r="AS101" s="34" t="s">
        <v>455</v>
      </c>
      <c r="AT101" s="35" t="s">
        <v>2025</v>
      </c>
      <c r="AU101" s="35" t="s">
        <v>986</v>
      </c>
      <c r="AV101" s="93"/>
      <c r="AW101" s="157"/>
      <c r="AX101" s="158" t="s">
        <v>2020</v>
      </c>
      <c r="AY101" s="158" t="s">
        <v>2017</v>
      </c>
      <c r="AZ101" s="158" t="str">
        <f t="shared" si="132"/>
        <v>城市基础设施路网工程</v>
      </c>
      <c r="BA101" s="158" t="s">
        <v>2021</v>
      </c>
      <c r="BB101" s="159"/>
      <c r="BC101" s="160"/>
      <c r="BD101" s="157"/>
      <c r="BE101" s="157"/>
      <c r="BF101" s="157"/>
      <c r="BG101" s="157"/>
      <c r="BH101" s="157"/>
      <c r="BI101" s="181"/>
      <c r="BJ101" s="157" t="str">
        <f t="shared" si="133"/>
        <v>市城管执法局1月</v>
      </c>
      <c r="BK101" s="157" t="s">
        <v>205</v>
      </c>
      <c r="BL101" s="157" t="s">
        <v>1980</v>
      </c>
      <c r="BM101" s="201" t="str">
        <f t="shared" si="134"/>
        <v>政府市城管执法局</v>
      </c>
      <c r="BN101" s="201" t="str">
        <f t="shared" si="135"/>
        <v>基础设施市城管执法局</v>
      </c>
      <c r="BO101" s="201">
        <f t="shared" si="136"/>
        <v>0</v>
      </c>
      <c r="BP101" s="157"/>
      <c r="BQ101" s="157">
        <f t="shared" si="137"/>
        <v>0</v>
      </c>
      <c r="BR101" s="157">
        <f t="shared" si="138"/>
        <v>0</v>
      </c>
      <c r="BS101" s="157">
        <f t="shared" si="139"/>
        <v>0</v>
      </c>
      <c r="BT101" s="157">
        <f t="shared" si="140"/>
        <v>0</v>
      </c>
      <c r="BU101" s="157">
        <f t="shared" si="141"/>
        <v>1</v>
      </c>
      <c r="BV101" s="181"/>
      <c r="BW101" s="206"/>
      <c r="BX101" s="4" t="s">
        <v>1917</v>
      </c>
      <c r="BY101" s="4"/>
      <c r="BZ101" s="4"/>
      <c r="CA101" s="4"/>
      <c r="CB101" s="4"/>
      <c r="CC101" s="4"/>
    </row>
    <row r="102" ht="81" customHeight="1" spans="1:81">
      <c r="A102" s="23">
        <f>SUBTOTAL(3,C$10:C102)</f>
        <v>78</v>
      </c>
      <c r="B102" s="55" t="s">
        <v>1277</v>
      </c>
      <c r="C102" s="76" t="s">
        <v>79</v>
      </c>
      <c r="D102" s="55" t="s">
        <v>1278</v>
      </c>
      <c r="E102" s="77" t="s">
        <v>81</v>
      </c>
      <c r="F102" s="38">
        <v>13788</v>
      </c>
      <c r="G102" s="38"/>
      <c r="H102" s="81" t="s">
        <v>131</v>
      </c>
      <c r="I102" s="81"/>
      <c r="J102" s="37">
        <v>300</v>
      </c>
      <c r="K102" s="37">
        <v>600</v>
      </c>
      <c r="L102" s="36">
        <v>1000</v>
      </c>
      <c r="M102" s="36"/>
      <c r="N102" s="112" t="s">
        <v>1279</v>
      </c>
      <c r="O102" s="111"/>
      <c r="P102" s="67"/>
      <c r="Q102" s="730" t="s">
        <v>115</v>
      </c>
      <c r="R102" s="730" t="s">
        <v>115</v>
      </c>
      <c r="S102" s="730" t="s">
        <v>115</v>
      </c>
      <c r="T102" s="730" t="s">
        <v>115</v>
      </c>
      <c r="U102" s="730" t="s">
        <v>115</v>
      </c>
      <c r="V102" s="730" t="s">
        <v>115</v>
      </c>
      <c r="W102" s="730" t="s">
        <v>115</v>
      </c>
      <c r="X102" s="90" t="s">
        <v>2026</v>
      </c>
      <c r="Y102" s="90" t="s">
        <v>1280</v>
      </c>
      <c r="Z102" s="132">
        <v>120</v>
      </c>
      <c r="AA102" s="132"/>
      <c r="AB102" s="132">
        <v>120</v>
      </c>
      <c r="AC102" s="132">
        <v>9.264</v>
      </c>
      <c r="AD102" s="132">
        <v>9.264</v>
      </c>
      <c r="AE102" s="132"/>
      <c r="AF102" s="132"/>
      <c r="AG102" s="132"/>
      <c r="AH102" s="132"/>
      <c r="AI102" s="132">
        <v>114</v>
      </c>
      <c r="AJ102" s="132"/>
      <c r="AK102" s="132">
        <v>114</v>
      </c>
      <c r="AL102" s="132">
        <v>1000</v>
      </c>
      <c r="AM102" s="132"/>
      <c r="AN102" s="132"/>
      <c r="AO102" s="132"/>
      <c r="AP102" s="132">
        <v>1000</v>
      </c>
      <c r="AQ102" s="90"/>
      <c r="AR102" s="112" t="s">
        <v>1280</v>
      </c>
      <c r="AS102" s="34" t="s">
        <v>1040</v>
      </c>
      <c r="AT102" s="35" t="s">
        <v>2027</v>
      </c>
      <c r="AU102" s="35" t="s">
        <v>498</v>
      </c>
      <c r="AV102" s="93"/>
      <c r="AW102" s="157"/>
      <c r="AX102" s="158" t="s">
        <v>2020</v>
      </c>
      <c r="AY102" s="158" t="s">
        <v>2017</v>
      </c>
      <c r="AZ102" s="158" t="str">
        <f t="shared" si="132"/>
        <v>城市基础设施路网工程</v>
      </c>
      <c r="BA102" s="158" t="s">
        <v>2021</v>
      </c>
      <c r="BB102" s="159"/>
      <c r="BC102" s="160"/>
      <c r="BD102" s="157"/>
      <c r="BE102" s="157"/>
      <c r="BF102" s="157"/>
      <c r="BG102" s="157"/>
      <c r="BH102" s="157"/>
      <c r="BI102" s="181"/>
      <c r="BJ102" s="157" t="str">
        <f t="shared" si="133"/>
        <v>市滨海新城管委12月</v>
      </c>
      <c r="BK102" s="157" t="s">
        <v>205</v>
      </c>
      <c r="BL102" s="157" t="s">
        <v>1980</v>
      </c>
      <c r="BM102" s="201" t="str">
        <f t="shared" si="134"/>
        <v>政府市滨海新城管委</v>
      </c>
      <c r="BN102" s="201" t="str">
        <f t="shared" si="135"/>
        <v>基础设施市滨海新城管委</v>
      </c>
      <c r="BO102" s="201">
        <f t="shared" si="136"/>
        <v>0</v>
      </c>
      <c r="BP102" s="157"/>
      <c r="BQ102" s="157">
        <f t="shared" si="137"/>
        <v>1</v>
      </c>
      <c r="BR102" s="157">
        <f t="shared" si="138"/>
        <v>0</v>
      </c>
      <c r="BS102" s="157">
        <f t="shared" si="139"/>
        <v>1</v>
      </c>
      <c r="BT102" s="157">
        <f t="shared" si="140"/>
        <v>1</v>
      </c>
      <c r="BU102" s="157">
        <f t="shared" si="141"/>
        <v>1</v>
      </c>
      <c r="BV102" s="181"/>
      <c r="BW102" s="206"/>
      <c r="BX102" s="4" t="s">
        <v>1917</v>
      </c>
      <c r="BY102" s="4"/>
      <c r="BZ102" s="4"/>
      <c r="CA102" s="4"/>
      <c r="CB102" s="4"/>
      <c r="CC102" s="4"/>
    </row>
    <row r="103" ht="81" customHeight="1" spans="1:81">
      <c r="A103" s="23">
        <f>SUBTOTAL(3,C$10:C103)</f>
        <v>79</v>
      </c>
      <c r="B103" s="55" t="s">
        <v>1281</v>
      </c>
      <c r="C103" s="76" t="s">
        <v>79</v>
      </c>
      <c r="D103" s="55" t="s">
        <v>1282</v>
      </c>
      <c r="E103" s="77" t="s">
        <v>143</v>
      </c>
      <c r="F103" s="38">
        <v>10390</v>
      </c>
      <c r="G103" s="38"/>
      <c r="H103" s="81" t="s">
        <v>131</v>
      </c>
      <c r="I103" s="36">
        <v>10.29</v>
      </c>
      <c r="J103" s="36">
        <v>41.17</v>
      </c>
      <c r="K103" s="36">
        <v>82.34</v>
      </c>
      <c r="L103" s="38">
        <v>1000</v>
      </c>
      <c r="M103" s="38"/>
      <c r="N103" s="34" t="s">
        <v>1283</v>
      </c>
      <c r="O103" s="67"/>
      <c r="P103" s="67"/>
      <c r="Q103" s="730" t="s">
        <v>115</v>
      </c>
      <c r="R103" s="730" t="s">
        <v>115</v>
      </c>
      <c r="S103" s="730" t="s">
        <v>115</v>
      </c>
      <c r="T103" s="730" t="s">
        <v>115</v>
      </c>
      <c r="U103" s="730" t="s">
        <v>115</v>
      </c>
      <c r="V103" s="134"/>
      <c r="W103" s="134"/>
      <c r="X103" s="90" t="s">
        <v>2028</v>
      </c>
      <c r="Y103" s="90" t="s">
        <v>2029</v>
      </c>
      <c r="Z103" s="132">
        <f>5.2362*15</f>
        <v>78.543</v>
      </c>
      <c r="AA103" s="132"/>
      <c r="AB103" s="132">
        <v>79</v>
      </c>
      <c r="AC103" s="132">
        <f>2.7292*15</f>
        <v>40.938</v>
      </c>
      <c r="AD103" s="132"/>
      <c r="AE103" s="132"/>
      <c r="AF103" s="132"/>
      <c r="AG103" s="132"/>
      <c r="AH103" s="132"/>
      <c r="AI103" s="132">
        <v>13</v>
      </c>
      <c r="AJ103" s="132"/>
      <c r="AK103" s="132">
        <v>13</v>
      </c>
      <c r="AL103" s="115">
        <v>1000</v>
      </c>
      <c r="AM103" s="115"/>
      <c r="AN103" s="115"/>
      <c r="AO103" s="132"/>
      <c r="AP103" s="132">
        <v>1000</v>
      </c>
      <c r="AQ103" s="90"/>
      <c r="AR103" s="112" t="s">
        <v>1055</v>
      </c>
      <c r="AS103" s="34" t="s">
        <v>1040</v>
      </c>
      <c r="AT103" s="35" t="s">
        <v>2027</v>
      </c>
      <c r="AU103" s="35" t="s">
        <v>498</v>
      </c>
      <c r="AV103" s="93"/>
      <c r="AW103" s="157"/>
      <c r="AX103" s="158" t="s">
        <v>2020</v>
      </c>
      <c r="AY103" s="158" t="s">
        <v>2017</v>
      </c>
      <c r="AZ103" s="158" t="str">
        <f t="shared" si="132"/>
        <v>城市基础设施路网工程</v>
      </c>
      <c r="BA103" s="158" t="s">
        <v>2021</v>
      </c>
      <c r="BB103" s="159"/>
      <c r="BC103" s="160"/>
      <c r="BD103" s="157"/>
      <c r="BE103" s="157"/>
      <c r="BF103" s="157"/>
      <c r="BG103" s="157"/>
      <c r="BH103" s="157"/>
      <c r="BI103" s="181"/>
      <c r="BJ103" s="157" t="str">
        <f t="shared" si="133"/>
        <v>市滨海新城管委12月</v>
      </c>
      <c r="BK103" s="157" t="s">
        <v>205</v>
      </c>
      <c r="BL103" s="157" t="s">
        <v>1980</v>
      </c>
      <c r="BM103" s="201" t="str">
        <f t="shared" si="134"/>
        <v>政府市滨海新城管委</v>
      </c>
      <c r="BN103" s="201" t="str">
        <f t="shared" si="135"/>
        <v>基础设施市滨海新城管委</v>
      </c>
      <c r="BO103" s="201">
        <f t="shared" si="136"/>
        <v>0</v>
      </c>
      <c r="BP103" s="157"/>
      <c r="BQ103" s="157">
        <f t="shared" si="137"/>
        <v>1</v>
      </c>
      <c r="BR103" s="157">
        <f t="shared" si="138"/>
        <v>0</v>
      </c>
      <c r="BS103" s="157">
        <f t="shared" si="139"/>
        <v>1</v>
      </c>
      <c r="BT103" s="157">
        <f t="shared" si="140"/>
        <v>1</v>
      </c>
      <c r="BU103" s="157">
        <f t="shared" si="141"/>
        <v>1</v>
      </c>
      <c r="BV103" s="181"/>
      <c r="BW103" s="206"/>
      <c r="BX103" s="4" t="s">
        <v>1937</v>
      </c>
      <c r="BY103" s="4"/>
      <c r="BZ103" s="4"/>
      <c r="CA103" s="4"/>
      <c r="CB103" s="4"/>
      <c r="CC103" s="4"/>
    </row>
    <row r="104" ht="81" customHeight="1" spans="1:81">
      <c r="A104" s="23">
        <f>SUBTOTAL(3,C$10:C104)</f>
        <v>80</v>
      </c>
      <c r="B104" s="55" t="s">
        <v>1284</v>
      </c>
      <c r="C104" s="76" t="s">
        <v>79</v>
      </c>
      <c r="D104" s="55" t="s">
        <v>1285</v>
      </c>
      <c r="E104" s="77" t="s">
        <v>81</v>
      </c>
      <c r="F104" s="38">
        <v>9759</v>
      </c>
      <c r="G104" s="38"/>
      <c r="H104" s="81" t="s">
        <v>131</v>
      </c>
      <c r="I104" s="81"/>
      <c r="J104" s="81"/>
      <c r="K104" s="81"/>
      <c r="L104" s="38">
        <v>1000</v>
      </c>
      <c r="M104" s="38"/>
      <c r="N104" s="124" t="s">
        <v>284</v>
      </c>
      <c r="O104" s="67"/>
      <c r="P104" s="67"/>
      <c r="Q104" s="730" t="s">
        <v>115</v>
      </c>
      <c r="R104" s="730" t="s">
        <v>115</v>
      </c>
      <c r="S104" s="730" t="s">
        <v>115</v>
      </c>
      <c r="T104" s="730" t="s">
        <v>115</v>
      </c>
      <c r="U104" s="730" t="s">
        <v>115</v>
      </c>
      <c r="V104" s="730"/>
      <c r="W104" s="134"/>
      <c r="X104" s="90" t="s">
        <v>2030</v>
      </c>
      <c r="Y104" s="90" t="s">
        <v>2029</v>
      </c>
      <c r="Z104" s="132">
        <f>7.76*15</f>
        <v>116.4</v>
      </c>
      <c r="AA104" s="132"/>
      <c r="AB104" s="132">
        <v>116</v>
      </c>
      <c r="AC104" s="132">
        <f>2.3*15</f>
        <v>34.5</v>
      </c>
      <c r="AD104" s="132"/>
      <c r="AE104" s="132"/>
      <c r="AF104" s="132"/>
      <c r="AG104" s="132"/>
      <c r="AH104" s="132"/>
      <c r="AI104" s="132">
        <v>96</v>
      </c>
      <c r="AJ104" s="132"/>
      <c r="AK104" s="132">
        <v>96</v>
      </c>
      <c r="AL104" s="115">
        <v>1000</v>
      </c>
      <c r="AM104" s="115"/>
      <c r="AN104" s="115"/>
      <c r="AO104" s="132"/>
      <c r="AP104" s="132">
        <v>1000</v>
      </c>
      <c r="AQ104" s="90"/>
      <c r="AR104" s="112" t="s">
        <v>1286</v>
      </c>
      <c r="AS104" s="34" t="s">
        <v>1040</v>
      </c>
      <c r="AT104" s="35" t="s">
        <v>2027</v>
      </c>
      <c r="AU104" s="35" t="s">
        <v>498</v>
      </c>
      <c r="AV104" s="55"/>
      <c r="AW104" s="157"/>
      <c r="AX104" s="158" t="s">
        <v>2020</v>
      </c>
      <c r="AY104" s="158" t="s">
        <v>2017</v>
      </c>
      <c r="AZ104" s="158" t="str">
        <f t="shared" si="132"/>
        <v>城市基础设施路网工程</v>
      </c>
      <c r="BA104" s="158" t="s">
        <v>2021</v>
      </c>
      <c r="BB104" s="159"/>
      <c r="BC104" s="160"/>
      <c r="BD104" s="157"/>
      <c r="BE104" s="157"/>
      <c r="BF104" s="157"/>
      <c r="BG104" s="157"/>
      <c r="BH104" s="157"/>
      <c r="BI104" s="181"/>
      <c r="BJ104" s="157" t="str">
        <f t="shared" si="133"/>
        <v>市滨海新城管委12月</v>
      </c>
      <c r="BK104" s="157" t="s">
        <v>205</v>
      </c>
      <c r="BL104" s="157" t="s">
        <v>1980</v>
      </c>
      <c r="BM104" s="201" t="str">
        <f t="shared" si="134"/>
        <v>政府市滨海新城管委</v>
      </c>
      <c r="BN104" s="201" t="str">
        <f t="shared" si="135"/>
        <v>基础设施市滨海新城管委</v>
      </c>
      <c r="BO104" s="201">
        <f t="shared" si="136"/>
        <v>0</v>
      </c>
      <c r="BP104" s="157"/>
      <c r="BQ104" s="157">
        <f t="shared" si="137"/>
        <v>1</v>
      </c>
      <c r="BR104" s="157">
        <f t="shared" si="138"/>
        <v>0</v>
      </c>
      <c r="BS104" s="157">
        <f t="shared" si="139"/>
        <v>1</v>
      </c>
      <c r="BT104" s="157">
        <f t="shared" si="140"/>
        <v>1</v>
      </c>
      <c r="BU104" s="157">
        <f t="shared" si="141"/>
        <v>1</v>
      </c>
      <c r="BV104" s="181"/>
      <c r="BW104" s="206"/>
      <c r="BX104" s="4" t="s">
        <v>1937</v>
      </c>
      <c r="BY104" s="4"/>
      <c r="BZ104" s="4"/>
      <c r="CA104" s="4"/>
      <c r="CB104" s="4"/>
      <c r="CC104" s="4"/>
    </row>
    <row r="105" ht="74.25" customHeight="1" spans="1:81">
      <c r="A105" s="23">
        <f>SUBTOTAL(3,C$10:C105)</f>
        <v>81</v>
      </c>
      <c r="B105" s="55" t="s">
        <v>1307</v>
      </c>
      <c r="C105" s="35" t="s">
        <v>79</v>
      </c>
      <c r="D105" s="55" t="s">
        <v>1308</v>
      </c>
      <c r="E105" s="35" t="s">
        <v>112</v>
      </c>
      <c r="F105" s="35">
        <v>16000</v>
      </c>
      <c r="G105" s="35"/>
      <c r="H105" s="81" t="s">
        <v>82</v>
      </c>
      <c r="I105" s="37"/>
      <c r="J105" s="37"/>
      <c r="K105" s="37">
        <v>300</v>
      </c>
      <c r="L105" s="36">
        <v>3000</v>
      </c>
      <c r="M105" s="36"/>
      <c r="N105" s="34" t="s">
        <v>284</v>
      </c>
      <c r="O105" s="111"/>
      <c r="P105" s="134"/>
      <c r="Q105" s="115" t="s">
        <v>115</v>
      </c>
      <c r="R105" s="115" t="s">
        <v>115</v>
      </c>
      <c r="S105" s="115"/>
      <c r="T105" s="115"/>
      <c r="U105" s="115"/>
      <c r="V105" s="115"/>
      <c r="W105" s="115"/>
      <c r="X105" s="90" t="s">
        <v>468</v>
      </c>
      <c r="Y105" s="90" t="s">
        <v>117</v>
      </c>
      <c r="Z105" s="132"/>
      <c r="AA105" s="132"/>
      <c r="AB105" s="132"/>
      <c r="AC105" s="132"/>
      <c r="AD105" s="132"/>
      <c r="AE105" s="132"/>
      <c r="AF105" s="132"/>
      <c r="AG105" s="132"/>
      <c r="AH105" s="132"/>
      <c r="AI105" s="132">
        <v>245</v>
      </c>
      <c r="AJ105" s="132"/>
      <c r="AK105" s="132">
        <v>245</v>
      </c>
      <c r="AL105" s="132"/>
      <c r="AM105" s="132"/>
      <c r="AN105" s="132"/>
      <c r="AO105" s="132"/>
      <c r="AP105" s="132"/>
      <c r="AQ105" s="90"/>
      <c r="AR105" s="66" t="s">
        <v>1170</v>
      </c>
      <c r="AS105" s="34" t="s">
        <v>1171</v>
      </c>
      <c r="AT105" s="35" t="s">
        <v>2031</v>
      </c>
      <c r="AU105" s="170" t="s">
        <v>269</v>
      </c>
      <c r="AV105" s="93"/>
      <c r="AW105" s="157"/>
      <c r="AX105" s="158" t="s">
        <v>2020</v>
      </c>
      <c r="AY105" s="158" t="s">
        <v>2017</v>
      </c>
      <c r="AZ105" s="158" t="str">
        <f t="shared" si="132"/>
        <v>城市基础设施路网工程</v>
      </c>
      <c r="BA105" s="158" t="s">
        <v>2021</v>
      </c>
      <c r="BB105" s="159"/>
      <c r="BC105" s="160"/>
      <c r="BD105" s="157"/>
      <c r="BE105" s="157"/>
      <c r="BF105" s="157"/>
      <c r="BG105" s="157"/>
      <c r="BH105" s="157"/>
      <c r="BI105" s="181"/>
      <c r="BJ105" s="157" t="str">
        <f t="shared" si="133"/>
        <v>灵山县人民政府10月</v>
      </c>
      <c r="BK105" s="157" t="s">
        <v>205</v>
      </c>
      <c r="BL105" s="157" t="s">
        <v>1980</v>
      </c>
      <c r="BM105" s="201" t="str">
        <f t="shared" si="134"/>
        <v>政府灵山县人民政府</v>
      </c>
      <c r="BN105" s="201" t="str">
        <f t="shared" si="135"/>
        <v>基础设施灵山县人民政府</v>
      </c>
      <c r="BO105" s="201">
        <f t="shared" si="136"/>
        <v>0</v>
      </c>
      <c r="BP105" s="157"/>
      <c r="BQ105" s="157">
        <f t="shared" si="137"/>
        <v>0</v>
      </c>
      <c r="BR105" s="157">
        <f t="shared" si="138"/>
        <v>0</v>
      </c>
      <c r="BS105" s="157">
        <f t="shared" si="139"/>
        <v>0</v>
      </c>
      <c r="BT105" s="157">
        <f t="shared" si="140"/>
        <v>1</v>
      </c>
      <c r="BU105" s="157">
        <f t="shared" si="141"/>
        <v>0</v>
      </c>
      <c r="BV105" s="181"/>
      <c r="BW105" s="206"/>
      <c r="BY105" s="4"/>
      <c r="BZ105" s="4"/>
      <c r="CA105" s="4"/>
      <c r="CB105" s="4"/>
      <c r="CC105" s="4"/>
    </row>
    <row r="106" ht="76.5" customHeight="1" spans="1:81">
      <c r="A106" s="23">
        <f>SUBTOTAL(3,C$10:C106)</f>
        <v>82</v>
      </c>
      <c r="B106" s="55" t="s">
        <v>1309</v>
      </c>
      <c r="C106" s="35" t="s">
        <v>79</v>
      </c>
      <c r="D106" s="55" t="s">
        <v>1310</v>
      </c>
      <c r="E106" s="35" t="s">
        <v>81</v>
      </c>
      <c r="F106" s="35">
        <v>9704</v>
      </c>
      <c r="G106" s="35"/>
      <c r="H106" s="81" t="s">
        <v>122</v>
      </c>
      <c r="I106" s="37"/>
      <c r="J106" s="37">
        <v>100</v>
      </c>
      <c r="K106" s="37">
        <v>1100</v>
      </c>
      <c r="L106" s="36">
        <v>2000</v>
      </c>
      <c r="M106" s="36"/>
      <c r="N106" s="112" t="s">
        <v>1221</v>
      </c>
      <c r="O106" s="111"/>
      <c r="P106" s="118"/>
      <c r="Q106" s="115" t="s">
        <v>115</v>
      </c>
      <c r="R106" s="115" t="s">
        <v>115</v>
      </c>
      <c r="S106" s="115" t="s">
        <v>115</v>
      </c>
      <c r="T106" s="115" t="s">
        <v>115</v>
      </c>
      <c r="U106" s="115" t="s">
        <v>115</v>
      </c>
      <c r="V106" s="115"/>
      <c r="W106" s="115"/>
      <c r="X106" s="171" t="s">
        <v>2032</v>
      </c>
      <c r="Y106" s="90" t="s">
        <v>117</v>
      </c>
      <c r="Z106" s="132">
        <v>61.35</v>
      </c>
      <c r="AA106" s="132">
        <v>61.35</v>
      </c>
      <c r="AB106" s="132"/>
      <c r="AC106" s="132">
        <v>4.98</v>
      </c>
      <c r="AD106" s="132">
        <v>4.98</v>
      </c>
      <c r="AE106" s="132"/>
      <c r="AF106" s="132"/>
      <c r="AG106" s="132"/>
      <c r="AH106" s="132"/>
      <c r="AI106" s="132">
        <v>60</v>
      </c>
      <c r="AJ106" s="132">
        <v>57</v>
      </c>
      <c r="AK106" s="132">
        <v>3</v>
      </c>
      <c r="AL106" s="132"/>
      <c r="AM106" s="132"/>
      <c r="AN106" s="132"/>
      <c r="AO106" s="132"/>
      <c r="AP106" s="132"/>
      <c r="AQ106" s="90"/>
      <c r="AR106" s="112" t="s">
        <v>117</v>
      </c>
      <c r="AS106" s="34" t="s">
        <v>1311</v>
      </c>
      <c r="AT106" s="35" t="s">
        <v>2031</v>
      </c>
      <c r="AU106" s="170" t="s">
        <v>269</v>
      </c>
      <c r="AV106" s="93"/>
      <c r="AW106" s="157"/>
      <c r="AX106" s="158" t="s">
        <v>2020</v>
      </c>
      <c r="AY106" s="158" t="s">
        <v>2017</v>
      </c>
      <c r="AZ106" s="158" t="str">
        <f t="shared" si="132"/>
        <v>城市基础设施路网工程</v>
      </c>
      <c r="BA106" s="158" t="s">
        <v>2021</v>
      </c>
      <c r="BB106" s="272"/>
      <c r="BC106" s="160"/>
      <c r="BD106" s="157"/>
      <c r="BE106" s="157"/>
      <c r="BF106" s="157"/>
      <c r="BG106" s="157"/>
      <c r="BH106" s="157"/>
      <c r="BI106" s="181"/>
      <c r="BJ106" s="157" t="str">
        <f t="shared" si="133"/>
        <v>灵山县人民政府6月</v>
      </c>
      <c r="BK106" s="157" t="s">
        <v>205</v>
      </c>
      <c r="BL106" s="157" t="s">
        <v>1980</v>
      </c>
      <c r="BM106" s="201" t="str">
        <f t="shared" si="134"/>
        <v>政府灵山县人民政府</v>
      </c>
      <c r="BN106" s="201" t="str">
        <f t="shared" si="135"/>
        <v>基础设施灵山县人民政府</v>
      </c>
      <c r="BO106" s="201">
        <f t="shared" si="136"/>
        <v>0</v>
      </c>
      <c r="BP106" s="157"/>
      <c r="BQ106" s="157">
        <f t="shared" si="137"/>
        <v>1</v>
      </c>
      <c r="BR106" s="157">
        <f t="shared" si="138"/>
        <v>0</v>
      </c>
      <c r="BS106" s="157">
        <f t="shared" si="139"/>
        <v>1</v>
      </c>
      <c r="BT106" s="157">
        <f t="shared" si="140"/>
        <v>1</v>
      </c>
      <c r="BU106" s="157">
        <f t="shared" si="141"/>
        <v>0</v>
      </c>
      <c r="BV106" s="181"/>
      <c r="BW106" s="206"/>
      <c r="BX106" s="4" t="s">
        <v>1895</v>
      </c>
      <c r="BY106" s="6"/>
      <c r="BZ106" s="228"/>
      <c r="CA106" s="229"/>
      <c r="CB106" s="6"/>
      <c r="CC106" s="6"/>
    </row>
    <row r="107" ht="74.25" customHeight="1" spans="1:81">
      <c r="A107" s="23">
        <f>SUBTOTAL(3,C$10:C107)</f>
        <v>83</v>
      </c>
      <c r="B107" s="55" t="s">
        <v>1312</v>
      </c>
      <c r="C107" s="594" t="s">
        <v>79</v>
      </c>
      <c r="D107" s="55" t="s">
        <v>1313</v>
      </c>
      <c r="E107" s="55" t="s">
        <v>112</v>
      </c>
      <c r="F107" s="156">
        <v>7667</v>
      </c>
      <c r="G107" s="156"/>
      <c r="H107" s="67" t="s">
        <v>195</v>
      </c>
      <c r="I107" s="67">
        <v>100</v>
      </c>
      <c r="J107" s="67">
        <v>1500</v>
      </c>
      <c r="K107" s="67">
        <v>3000</v>
      </c>
      <c r="L107" s="257">
        <v>4000</v>
      </c>
      <c r="M107" s="257"/>
      <c r="N107" s="131" t="s">
        <v>1314</v>
      </c>
      <c r="O107" s="111"/>
      <c r="P107" s="134"/>
      <c r="Q107" s="115" t="s">
        <v>115</v>
      </c>
      <c r="R107" s="115" t="s">
        <v>115</v>
      </c>
      <c r="S107" s="115"/>
      <c r="T107" s="115"/>
      <c r="U107" s="115"/>
      <c r="V107" s="115"/>
      <c r="W107" s="115"/>
      <c r="X107" s="90"/>
      <c r="Y107" s="90" t="s">
        <v>117</v>
      </c>
      <c r="Z107" s="132"/>
      <c r="AA107" s="132"/>
      <c r="AB107" s="132"/>
      <c r="AC107" s="132"/>
      <c r="AD107" s="132"/>
      <c r="AE107" s="132"/>
      <c r="AF107" s="132"/>
      <c r="AG107" s="132"/>
      <c r="AH107" s="132"/>
      <c r="AI107" s="132">
        <v>245</v>
      </c>
      <c r="AJ107" s="132"/>
      <c r="AK107" s="132">
        <v>245</v>
      </c>
      <c r="AL107" s="132"/>
      <c r="AM107" s="132"/>
      <c r="AN107" s="132"/>
      <c r="AO107" s="132"/>
      <c r="AP107" s="132"/>
      <c r="AQ107" s="90"/>
      <c r="AR107" s="112" t="s">
        <v>117</v>
      </c>
      <c r="AS107" s="66" t="s">
        <v>1311</v>
      </c>
      <c r="AT107" s="23" t="s">
        <v>2033</v>
      </c>
      <c r="AU107" s="35" t="s">
        <v>269</v>
      </c>
      <c r="AV107" s="93"/>
      <c r="AW107" s="157"/>
      <c r="AX107" s="158" t="s">
        <v>2020</v>
      </c>
      <c r="AY107" s="158" t="s">
        <v>2017</v>
      </c>
      <c r="AZ107" s="158" t="str">
        <f t="shared" si="132"/>
        <v>城市基础设施路网工程</v>
      </c>
      <c r="BA107" s="158" t="s">
        <v>2021</v>
      </c>
      <c r="BB107" s="159"/>
      <c r="BC107" s="160"/>
      <c r="BD107" s="157"/>
      <c r="BE107" s="157"/>
      <c r="BF107" s="157"/>
      <c r="BG107" s="157"/>
      <c r="BH107" s="157"/>
      <c r="BI107" s="181"/>
      <c r="BJ107" s="157" t="str">
        <f t="shared" si="133"/>
        <v>灵山县人民政府3月</v>
      </c>
      <c r="BK107" s="157" t="s">
        <v>205</v>
      </c>
      <c r="BL107" s="157" t="s">
        <v>1980</v>
      </c>
      <c r="BM107" s="201" t="str">
        <f t="shared" si="134"/>
        <v>政府灵山县人民政府</v>
      </c>
      <c r="BN107" s="201" t="str">
        <f t="shared" si="135"/>
        <v>基础设施灵山县人民政府</v>
      </c>
      <c r="BO107" s="201">
        <f t="shared" si="136"/>
        <v>0</v>
      </c>
      <c r="BP107" s="157"/>
      <c r="BQ107" s="157">
        <f t="shared" si="137"/>
        <v>0</v>
      </c>
      <c r="BR107" s="157">
        <f t="shared" si="138"/>
        <v>0</v>
      </c>
      <c r="BS107" s="157">
        <f t="shared" si="139"/>
        <v>0</v>
      </c>
      <c r="BT107" s="157">
        <f t="shared" si="140"/>
        <v>1</v>
      </c>
      <c r="BU107" s="157">
        <f t="shared" si="141"/>
        <v>0</v>
      </c>
      <c r="BV107" s="181"/>
      <c r="BW107" s="206"/>
      <c r="BY107" s="4"/>
      <c r="BZ107" s="4"/>
      <c r="CA107" s="4"/>
      <c r="CB107" s="4"/>
      <c r="CC107" s="4"/>
    </row>
    <row r="108" ht="77.25" customHeight="1" spans="1:81">
      <c r="A108" s="23">
        <f>SUBTOTAL(3,C$10:C108)</f>
        <v>84</v>
      </c>
      <c r="B108" s="55" t="s">
        <v>1315</v>
      </c>
      <c r="C108" s="35" t="s">
        <v>79</v>
      </c>
      <c r="D108" s="55" t="s">
        <v>1316</v>
      </c>
      <c r="E108" s="35" t="s">
        <v>112</v>
      </c>
      <c r="F108" s="36">
        <v>6500</v>
      </c>
      <c r="G108" s="36"/>
      <c r="H108" s="83" t="s">
        <v>82</v>
      </c>
      <c r="I108" s="578"/>
      <c r="J108" s="578"/>
      <c r="K108" s="578">
        <v>900</v>
      </c>
      <c r="L108" s="36">
        <v>2000</v>
      </c>
      <c r="M108" s="36"/>
      <c r="N108" s="34" t="s">
        <v>284</v>
      </c>
      <c r="O108" s="111"/>
      <c r="P108" s="67"/>
      <c r="Q108" s="115"/>
      <c r="R108" s="115"/>
      <c r="S108" s="115"/>
      <c r="T108" s="115"/>
      <c r="U108" s="115"/>
      <c r="V108" s="115"/>
      <c r="W108" s="115"/>
      <c r="X108" s="90" t="s">
        <v>2034</v>
      </c>
      <c r="Y108" s="90" t="s">
        <v>117</v>
      </c>
      <c r="Z108" s="132"/>
      <c r="AA108" s="132"/>
      <c r="AB108" s="132"/>
      <c r="AC108" s="132"/>
      <c r="AD108" s="132"/>
      <c r="AE108" s="132"/>
      <c r="AF108" s="132"/>
      <c r="AG108" s="132"/>
      <c r="AH108" s="132"/>
      <c r="AI108" s="132">
        <v>121</v>
      </c>
      <c r="AJ108" s="132">
        <v>111</v>
      </c>
      <c r="AK108" s="132">
        <v>10</v>
      </c>
      <c r="AL108" s="132"/>
      <c r="AM108" s="132"/>
      <c r="AN108" s="132"/>
      <c r="AO108" s="132"/>
      <c r="AP108" s="132"/>
      <c r="AQ108" s="90"/>
      <c r="AR108" s="66" t="s">
        <v>1170</v>
      </c>
      <c r="AS108" s="34" t="s">
        <v>1311</v>
      </c>
      <c r="AT108" s="35" t="s">
        <v>2031</v>
      </c>
      <c r="AU108" s="170" t="s">
        <v>269</v>
      </c>
      <c r="AV108" s="93"/>
      <c r="AW108" s="157"/>
      <c r="AX108" s="158" t="s">
        <v>2020</v>
      </c>
      <c r="AY108" s="158" t="s">
        <v>2017</v>
      </c>
      <c r="AZ108" s="158" t="str">
        <f t="shared" si="132"/>
        <v>城市基础设施路网工程</v>
      </c>
      <c r="BA108" s="158" t="s">
        <v>2021</v>
      </c>
      <c r="BB108" s="159"/>
      <c r="BC108" s="160"/>
      <c r="BD108" s="157"/>
      <c r="BE108" s="157"/>
      <c r="BF108" s="157"/>
      <c r="BG108" s="157"/>
      <c r="BH108" s="157"/>
      <c r="BI108" s="181"/>
      <c r="BJ108" s="157" t="str">
        <f t="shared" si="133"/>
        <v>灵山县人民政府10月</v>
      </c>
      <c r="BK108" s="157" t="s">
        <v>205</v>
      </c>
      <c r="BL108" s="157" t="s">
        <v>1980</v>
      </c>
      <c r="BM108" s="201" t="str">
        <f t="shared" si="134"/>
        <v>政府灵山县人民政府</v>
      </c>
      <c r="BN108" s="201" t="str">
        <f t="shared" si="135"/>
        <v>基础设施灵山县人民政府</v>
      </c>
      <c r="BO108" s="201">
        <f t="shared" si="136"/>
        <v>0</v>
      </c>
      <c r="BP108" s="157"/>
      <c r="BQ108" s="157">
        <f t="shared" si="137"/>
        <v>0</v>
      </c>
      <c r="BR108" s="157">
        <f t="shared" si="138"/>
        <v>0</v>
      </c>
      <c r="BS108" s="157">
        <f t="shared" si="139"/>
        <v>0</v>
      </c>
      <c r="BT108" s="157">
        <f t="shared" si="140"/>
        <v>1</v>
      </c>
      <c r="BU108" s="157">
        <f t="shared" si="141"/>
        <v>0</v>
      </c>
      <c r="BV108" s="181"/>
      <c r="BW108" s="206"/>
      <c r="BX108" s="4" t="s">
        <v>1895</v>
      </c>
      <c r="BY108" s="4"/>
      <c r="BZ108" s="4"/>
      <c r="CA108" s="4"/>
      <c r="CB108" s="4"/>
      <c r="CC108" s="4"/>
    </row>
    <row r="109" ht="77.25" customHeight="1" spans="1:81">
      <c r="A109" s="23">
        <f>SUBTOTAL(3,C$10:C109)</f>
        <v>85</v>
      </c>
      <c r="B109" s="55" t="s">
        <v>1317</v>
      </c>
      <c r="C109" s="35" t="s">
        <v>79</v>
      </c>
      <c r="D109" s="55" t="s">
        <v>1318</v>
      </c>
      <c r="E109" s="35">
        <v>2019</v>
      </c>
      <c r="F109" s="35">
        <v>4000</v>
      </c>
      <c r="G109" s="35"/>
      <c r="H109" s="67" t="s">
        <v>177</v>
      </c>
      <c r="I109" s="578"/>
      <c r="J109" s="67">
        <v>500</v>
      </c>
      <c r="K109" s="67">
        <v>2500</v>
      </c>
      <c r="L109" s="257">
        <v>4000</v>
      </c>
      <c r="M109" s="257"/>
      <c r="N109" s="131" t="s">
        <v>1319</v>
      </c>
      <c r="O109" s="111"/>
      <c r="P109" s="67"/>
      <c r="Q109" s="115"/>
      <c r="R109" s="115"/>
      <c r="S109" s="115"/>
      <c r="T109" s="115"/>
      <c r="U109" s="115"/>
      <c r="V109" s="115"/>
      <c r="W109" s="115"/>
      <c r="X109" s="90"/>
      <c r="Y109" s="90" t="s">
        <v>117</v>
      </c>
      <c r="Z109" s="132"/>
      <c r="AA109" s="132"/>
      <c r="AB109" s="132"/>
      <c r="AC109" s="132"/>
      <c r="AD109" s="132"/>
      <c r="AE109" s="132"/>
      <c r="AF109" s="132"/>
      <c r="AG109" s="132"/>
      <c r="AH109" s="132"/>
      <c r="AI109" s="132">
        <v>121</v>
      </c>
      <c r="AJ109" s="132">
        <v>111</v>
      </c>
      <c r="AK109" s="132">
        <v>10</v>
      </c>
      <c r="AL109" s="132"/>
      <c r="AM109" s="132"/>
      <c r="AN109" s="132"/>
      <c r="AO109" s="132"/>
      <c r="AP109" s="132"/>
      <c r="AQ109" s="90"/>
      <c r="AR109" s="112" t="s">
        <v>1320</v>
      </c>
      <c r="AS109" s="34" t="s">
        <v>1321</v>
      </c>
      <c r="AT109" s="35" t="s">
        <v>2035</v>
      </c>
      <c r="AU109" s="170" t="s">
        <v>269</v>
      </c>
      <c r="AV109" s="93"/>
      <c r="AW109" s="157"/>
      <c r="AX109" s="158" t="s">
        <v>2020</v>
      </c>
      <c r="AY109" s="158" t="s">
        <v>2017</v>
      </c>
      <c r="AZ109" s="158" t="str">
        <f t="shared" si="132"/>
        <v>城市基础设施路网工程</v>
      </c>
      <c r="BA109" s="158" t="s">
        <v>2021</v>
      </c>
      <c r="BB109" s="159"/>
      <c r="BC109" s="160"/>
      <c r="BD109" s="157"/>
      <c r="BE109" s="157"/>
      <c r="BF109" s="157"/>
      <c r="BG109" s="157"/>
      <c r="BH109" s="157"/>
      <c r="BI109" s="181"/>
      <c r="BJ109" s="157" t="str">
        <f t="shared" si="133"/>
        <v>灵山县人民政府4月</v>
      </c>
      <c r="BK109" s="157" t="s">
        <v>205</v>
      </c>
      <c r="BL109" s="157" t="s">
        <v>1980</v>
      </c>
      <c r="BM109" s="201" t="str">
        <f t="shared" si="134"/>
        <v>政府灵山县人民政府</v>
      </c>
      <c r="BN109" s="201" t="str">
        <f t="shared" si="135"/>
        <v>基础设施灵山县人民政府</v>
      </c>
      <c r="BO109" s="201">
        <f t="shared" si="136"/>
        <v>0</v>
      </c>
      <c r="BP109" s="157"/>
      <c r="BQ109" s="157">
        <f t="shared" si="137"/>
        <v>0</v>
      </c>
      <c r="BR109" s="157">
        <f t="shared" si="138"/>
        <v>0</v>
      </c>
      <c r="BS109" s="157">
        <f t="shared" si="139"/>
        <v>0</v>
      </c>
      <c r="BT109" s="157">
        <f t="shared" si="140"/>
        <v>1</v>
      </c>
      <c r="BU109" s="157">
        <f t="shared" si="141"/>
        <v>0</v>
      </c>
      <c r="BV109" s="181"/>
      <c r="BW109" s="206"/>
      <c r="BX109" s="4" t="s">
        <v>1895</v>
      </c>
      <c r="BY109" s="4"/>
      <c r="BZ109" s="4"/>
      <c r="CA109" s="4"/>
      <c r="CB109" s="4"/>
      <c r="CC109" s="4"/>
    </row>
    <row r="110" ht="77.25" customHeight="1" spans="1:81">
      <c r="A110" s="23">
        <f>SUBTOTAL(3,C$10:C110)</f>
        <v>86</v>
      </c>
      <c r="B110" s="55" t="s">
        <v>1322</v>
      </c>
      <c r="C110" s="35" t="s">
        <v>79</v>
      </c>
      <c r="D110" s="55" t="s">
        <v>1323</v>
      </c>
      <c r="E110" s="35" t="s">
        <v>112</v>
      </c>
      <c r="F110" s="35">
        <v>3988</v>
      </c>
      <c r="G110" s="35"/>
      <c r="H110" s="67" t="s">
        <v>195</v>
      </c>
      <c r="I110" s="67">
        <v>200</v>
      </c>
      <c r="J110" s="67">
        <v>800</v>
      </c>
      <c r="K110" s="67">
        <v>1500</v>
      </c>
      <c r="L110" s="257">
        <v>2000</v>
      </c>
      <c r="M110" s="257"/>
      <c r="N110" s="131" t="s">
        <v>2036</v>
      </c>
      <c r="O110" s="111"/>
      <c r="P110" s="67"/>
      <c r="Q110" s="115"/>
      <c r="R110" s="115"/>
      <c r="S110" s="115"/>
      <c r="T110" s="115"/>
      <c r="U110" s="115"/>
      <c r="V110" s="115"/>
      <c r="W110" s="115"/>
      <c r="X110" s="90"/>
      <c r="Y110" s="90" t="s">
        <v>117</v>
      </c>
      <c r="Z110" s="132"/>
      <c r="AA110" s="132"/>
      <c r="AB110" s="132"/>
      <c r="AC110" s="132"/>
      <c r="AD110" s="132"/>
      <c r="AE110" s="132"/>
      <c r="AF110" s="132"/>
      <c r="AG110" s="132"/>
      <c r="AH110" s="132"/>
      <c r="AI110" s="132">
        <v>121</v>
      </c>
      <c r="AJ110" s="132">
        <v>111</v>
      </c>
      <c r="AK110" s="132">
        <v>10</v>
      </c>
      <c r="AL110" s="132"/>
      <c r="AM110" s="132"/>
      <c r="AN110" s="132"/>
      <c r="AO110" s="132"/>
      <c r="AP110" s="132"/>
      <c r="AQ110" s="90"/>
      <c r="AR110" s="112" t="s">
        <v>1320</v>
      </c>
      <c r="AS110" s="34" t="s">
        <v>1311</v>
      </c>
      <c r="AT110" s="35" t="s">
        <v>2037</v>
      </c>
      <c r="AU110" s="170" t="s">
        <v>269</v>
      </c>
      <c r="AV110" s="93"/>
      <c r="AW110" s="157"/>
      <c r="AX110" s="158" t="s">
        <v>2020</v>
      </c>
      <c r="AY110" s="158" t="s">
        <v>2017</v>
      </c>
      <c r="AZ110" s="158" t="str">
        <f t="shared" si="132"/>
        <v>城市基础设施路网工程</v>
      </c>
      <c r="BA110" s="158" t="s">
        <v>2021</v>
      </c>
      <c r="BB110" s="159"/>
      <c r="BC110" s="160"/>
      <c r="BD110" s="157"/>
      <c r="BE110" s="157"/>
      <c r="BF110" s="157"/>
      <c r="BG110" s="157"/>
      <c r="BH110" s="157"/>
      <c r="BI110" s="181"/>
      <c r="BJ110" s="157" t="str">
        <f t="shared" si="133"/>
        <v>灵山县人民政府3月</v>
      </c>
      <c r="BK110" s="157" t="s">
        <v>205</v>
      </c>
      <c r="BL110" s="157" t="s">
        <v>1980</v>
      </c>
      <c r="BM110" s="201" t="str">
        <f t="shared" si="134"/>
        <v>政府灵山县人民政府</v>
      </c>
      <c r="BN110" s="201" t="str">
        <f t="shared" si="135"/>
        <v>基础设施灵山县人民政府</v>
      </c>
      <c r="BO110" s="201">
        <f t="shared" si="136"/>
        <v>0</v>
      </c>
      <c r="BP110" s="157"/>
      <c r="BQ110" s="157">
        <f t="shared" si="137"/>
        <v>0</v>
      </c>
      <c r="BR110" s="157">
        <f t="shared" si="138"/>
        <v>0</v>
      </c>
      <c r="BS110" s="157">
        <f t="shared" si="139"/>
        <v>0</v>
      </c>
      <c r="BT110" s="157">
        <f t="shared" si="140"/>
        <v>1</v>
      </c>
      <c r="BU110" s="157">
        <f t="shared" si="141"/>
        <v>0</v>
      </c>
      <c r="BV110" s="181"/>
      <c r="BW110" s="206"/>
      <c r="BX110" s="4" t="s">
        <v>1895</v>
      </c>
      <c r="BY110" s="4"/>
      <c r="BZ110" s="4"/>
      <c r="CA110" s="4"/>
      <c r="CB110" s="4"/>
      <c r="CC110" s="4"/>
    </row>
    <row r="111" ht="77.25" customHeight="1" spans="1:81">
      <c r="A111" s="23">
        <f>SUBTOTAL(3,C$10:C111)</f>
        <v>87</v>
      </c>
      <c r="B111" s="55" t="s">
        <v>1326</v>
      </c>
      <c r="C111" s="35" t="s">
        <v>79</v>
      </c>
      <c r="D111" s="55" t="s">
        <v>1327</v>
      </c>
      <c r="E111" s="35">
        <v>2019</v>
      </c>
      <c r="F111" s="35">
        <v>2480</v>
      </c>
      <c r="G111" s="35"/>
      <c r="H111" s="67" t="s">
        <v>195</v>
      </c>
      <c r="I111" s="67">
        <v>150</v>
      </c>
      <c r="J111" s="67">
        <v>1100</v>
      </c>
      <c r="K111" s="67">
        <v>1800</v>
      </c>
      <c r="L111" s="257">
        <v>2480</v>
      </c>
      <c r="M111" s="257"/>
      <c r="N111" s="131" t="s">
        <v>1319</v>
      </c>
      <c r="O111" s="111"/>
      <c r="P111" s="67"/>
      <c r="Q111" s="115"/>
      <c r="R111" s="115"/>
      <c r="S111" s="115"/>
      <c r="T111" s="115"/>
      <c r="U111" s="115"/>
      <c r="V111" s="115"/>
      <c r="W111" s="115"/>
      <c r="X111" s="90"/>
      <c r="Y111" s="90" t="s">
        <v>117</v>
      </c>
      <c r="Z111" s="132"/>
      <c r="AA111" s="132"/>
      <c r="AB111" s="132"/>
      <c r="AC111" s="132"/>
      <c r="AD111" s="132"/>
      <c r="AE111" s="132"/>
      <c r="AF111" s="132"/>
      <c r="AG111" s="132"/>
      <c r="AH111" s="132"/>
      <c r="AI111" s="132">
        <v>121</v>
      </c>
      <c r="AJ111" s="132">
        <v>111</v>
      </c>
      <c r="AK111" s="132">
        <v>10</v>
      </c>
      <c r="AL111" s="132"/>
      <c r="AM111" s="132"/>
      <c r="AN111" s="132"/>
      <c r="AO111" s="132"/>
      <c r="AP111" s="132"/>
      <c r="AQ111" s="90"/>
      <c r="AR111" s="112" t="s">
        <v>1320</v>
      </c>
      <c r="AS111" s="34" t="s">
        <v>1311</v>
      </c>
      <c r="AT111" s="35" t="s">
        <v>2037</v>
      </c>
      <c r="AU111" s="170" t="s">
        <v>269</v>
      </c>
      <c r="AV111" s="93" t="s">
        <v>1328</v>
      </c>
      <c r="AW111" s="157"/>
      <c r="AX111" s="158" t="s">
        <v>2020</v>
      </c>
      <c r="AY111" s="158" t="s">
        <v>2017</v>
      </c>
      <c r="AZ111" s="158" t="str">
        <f t="shared" si="132"/>
        <v>城市基础设施路网工程</v>
      </c>
      <c r="BA111" s="158" t="s">
        <v>2021</v>
      </c>
      <c r="BB111" s="159"/>
      <c r="BC111" s="160"/>
      <c r="BD111" s="157"/>
      <c r="BE111" s="157"/>
      <c r="BF111" s="157"/>
      <c r="BG111" s="157"/>
      <c r="BH111" s="157"/>
      <c r="BI111" s="181"/>
      <c r="BJ111" s="157" t="str">
        <f t="shared" si="133"/>
        <v>灵山县人民政府3月</v>
      </c>
      <c r="BK111" s="157" t="s">
        <v>205</v>
      </c>
      <c r="BL111" s="157" t="s">
        <v>1980</v>
      </c>
      <c r="BM111" s="201" t="str">
        <f t="shared" si="134"/>
        <v>政府灵山县人民政府</v>
      </c>
      <c r="BN111" s="201" t="str">
        <f t="shared" si="135"/>
        <v>基础设施灵山县人民政府</v>
      </c>
      <c r="BO111" s="201">
        <f t="shared" si="136"/>
        <v>0</v>
      </c>
      <c r="BP111" s="157"/>
      <c r="BQ111" s="157">
        <f t="shared" si="137"/>
        <v>0</v>
      </c>
      <c r="BR111" s="157">
        <f t="shared" si="138"/>
        <v>0</v>
      </c>
      <c r="BS111" s="157">
        <f t="shared" si="139"/>
        <v>0</v>
      </c>
      <c r="BT111" s="157">
        <f t="shared" si="140"/>
        <v>1</v>
      </c>
      <c r="BU111" s="157">
        <f t="shared" si="141"/>
        <v>0</v>
      </c>
      <c r="BV111" s="181"/>
      <c r="BW111" s="206"/>
      <c r="BX111" s="4" t="s">
        <v>1895</v>
      </c>
      <c r="BY111" s="4"/>
      <c r="BZ111" s="4"/>
      <c r="CA111" s="4"/>
      <c r="CB111" s="4"/>
      <c r="CC111" s="4"/>
    </row>
    <row r="112" ht="77.25" customHeight="1" spans="1:81">
      <c r="A112" s="23">
        <f>SUBTOTAL(3,C$10:C112)</f>
        <v>88</v>
      </c>
      <c r="B112" s="55" t="s">
        <v>1329</v>
      </c>
      <c r="C112" s="35" t="s">
        <v>79</v>
      </c>
      <c r="D112" s="55" t="s">
        <v>1330</v>
      </c>
      <c r="E112" s="35">
        <v>2019</v>
      </c>
      <c r="F112" s="35">
        <v>2300</v>
      </c>
      <c r="G112" s="35"/>
      <c r="H112" s="67" t="s">
        <v>195</v>
      </c>
      <c r="I112" s="67">
        <v>200</v>
      </c>
      <c r="J112" s="67">
        <v>1200</v>
      </c>
      <c r="K112" s="67">
        <v>1800</v>
      </c>
      <c r="L112" s="257">
        <v>2300</v>
      </c>
      <c r="M112" s="257"/>
      <c r="N112" s="131" t="s">
        <v>1319</v>
      </c>
      <c r="O112" s="111"/>
      <c r="P112" s="67"/>
      <c r="Q112" s="115"/>
      <c r="R112" s="115"/>
      <c r="S112" s="115"/>
      <c r="T112" s="115"/>
      <c r="U112" s="115"/>
      <c r="V112" s="115"/>
      <c r="W112" s="115"/>
      <c r="X112" s="90"/>
      <c r="Y112" s="90" t="s">
        <v>117</v>
      </c>
      <c r="Z112" s="132"/>
      <c r="AA112" s="132"/>
      <c r="AB112" s="132"/>
      <c r="AC112" s="132"/>
      <c r="AD112" s="132"/>
      <c r="AE112" s="132"/>
      <c r="AF112" s="132"/>
      <c r="AG112" s="132"/>
      <c r="AH112" s="132"/>
      <c r="AI112" s="132">
        <v>121</v>
      </c>
      <c r="AJ112" s="132">
        <v>111</v>
      </c>
      <c r="AK112" s="132">
        <v>10</v>
      </c>
      <c r="AL112" s="132"/>
      <c r="AM112" s="132"/>
      <c r="AN112" s="132"/>
      <c r="AO112" s="132"/>
      <c r="AP112" s="132"/>
      <c r="AQ112" s="90"/>
      <c r="AR112" s="112" t="s">
        <v>1320</v>
      </c>
      <c r="AS112" s="34" t="s">
        <v>1311</v>
      </c>
      <c r="AT112" s="35" t="s">
        <v>2037</v>
      </c>
      <c r="AU112" s="170" t="s">
        <v>269</v>
      </c>
      <c r="AV112" s="93" t="s">
        <v>1328</v>
      </c>
      <c r="AW112" s="157"/>
      <c r="AX112" s="158" t="s">
        <v>2020</v>
      </c>
      <c r="AY112" s="158" t="s">
        <v>2017</v>
      </c>
      <c r="AZ112" s="158" t="str">
        <f t="shared" si="132"/>
        <v>城市基础设施路网工程</v>
      </c>
      <c r="BA112" s="158" t="s">
        <v>2021</v>
      </c>
      <c r="BB112" s="159"/>
      <c r="BC112" s="160"/>
      <c r="BD112" s="157"/>
      <c r="BE112" s="157"/>
      <c r="BF112" s="157"/>
      <c r="BG112" s="157"/>
      <c r="BH112" s="157"/>
      <c r="BI112" s="181"/>
      <c r="BJ112" s="157" t="str">
        <f t="shared" si="133"/>
        <v>灵山县人民政府3月</v>
      </c>
      <c r="BK112" s="157" t="s">
        <v>205</v>
      </c>
      <c r="BL112" s="157" t="s">
        <v>1980</v>
      </c>
      <c r="BM112" s="201" t="str">
        <f t="shared" si="134"/>
        <v>政府灵山县人民政府</v>
      </c>
      <c r="BN112" s="201" t="str">
        <f t="shared" si="135"/>
        <v>基础设施灵山县人民政府</v>
      </c>
      <c r="BO112" s="201">
        <f t="shared" si="136"/>
        <v>0</v>
      </c>
      <c r="BP112" s="157"/>
      <c r="BQ112" s="157">
        <f t="shared" si="137"/>
        <v>0</v>
      </c>
      <c r="BR112" s="157">
        <f t="shared" si="138"/>
        <v>0</v>
      </c>
      <c r="BS112" s="157">
        <f t="shared" si="139"/>
        <v>0</v>
      </c>
      <c r="BT112" s="157">
        <f t="shared" si="140"/>
        <v>1</v>
      </c>
      <c r="BU112" s="157">
        <f t="shared" si="141"/>
        <v>0</v>
      </c>
      <c r="BV112" s="181"/>
      <c r="BW112" s="206"/>
      <c r="BX112" s="4" t="s">
        <v>1895</v>
      </c>
      <c r="BY112" s="4"/>
      <c r="BZ112" s="4"/>
      <c r="CA112" s="4"/>
      <c r="CB112" s="4"/>
      <c r="CC112" s="4"/>
    </row>
    <row r="113" ht="77.25" customHeight="1" spans="1:81">
      <c r="A113" s="23">
        <f>SUBTOTAL(3,C$10:C113)</f>
        <v>89</v>
      </c>
      <c r="B113" s="55" t="s">
        <v>1331</v>
      </c>
      <c r="C113" s="35" t="s">
        <v>79</v>
      </c>
      <c r="D113" s="55" t="s">
        <v>1332</v>
      </c>
      <c r="E113" s="35">
        <v>2019</v>
      </c>
      <c r="F113" s="789">
        <v>1289</v>
      </c>
      <c r="G113" s="789"/>
      <c r="H113" s="67" t="s">
        <v>195</v>
      </c>
      <c r="I113" s="67">
        <v>120</v>
      </c>
      <c r="J113" s="67">
        <v>700</v>
      </c>
      <c r="K113" s="67">
        <v>1000</v>
      </c>
      <c r="L113" s="257">
        <v>1289</v>
      </c>
      <c r="M113" s="257"/>
      <c r="N113" s="131" t="s">
        <v>1012</v>
      </c>
      <c r="O113" s="111"/>
      <c r="P113" s="67"/>
      <c r="Q113" s="115"/>
      <c r="R113" s="115"/>
      <c r="S113" s="115"/>
      <c r="T113" s="115"/>
      <c r="U113" s="115"/>
      <c r="V113" s="115"/>
      <c r="W113" s="115"/>
      <c r="X113" s="90"/>
      <c r="Y113" s="90" t="s">
        <v>117</v>
      </c>
      <c r="Z113" s="132"/>
      <c r="AA113" s="132"/>
      <c r="AB113" s="132"/>
      <c r="AC113" s="132"/>
      <c r="AD113" s="132"/>
      <c r="AE113" s="132"/>
      <c r="AF113" s="132"/>
      <c r="AG113" s="132"/>
      <c r="AH113" s="132"/>
      <c r="AI113" s="132">
        <v>121</v>
      </c>
      <c r="AJ113" s="132">
        <v>111</v>
      </c>
      <c r="AK113" s="132">
        <v>10</v>
      </c>
      <c r="AL113" s="132"/>
      <c r="AM113" s="132"/>
      <c r="AN113" s="132"/>
      <c r="AO113" s="132"/>
      <c r="AP113" s="132"/>
      <c r="AQ113" s="90"/>
      <c r="AR113" s="112" t="s">
        <v>117</v>
      </c>
      <c r="AS113" s="34" t="s">
        <v>1311</v>
      </c>
      <c r="AT113" s="35" t="s">
        <v>2037</v>
      </c>
      <c r="AU113" s="170" t="s">
        <v>269</v>
      </c>
      <c r="AV113" s="93"/>
      <c r="AW113" s="157"/>
      <c r="AX113" s="158" t="s">
        <v>2020</v>
      </c>
      <c r="AY113" s="158" t="s">
        <v>2017</v>
      </c>
      <c r="AZ113" s="158" t="str">
        <f t="shared" si="132"/>
        <v>城市基础设施路网工程</v>
      </c>
      <c r="BA113" s="158" t="s">
        <v>2021</v>
      </c>
      <c r="BB113" s="159"/>
      <c r="BC113" s="160"/>
      <c r="BD113" s="157"/>
      <c r="BE113" s="157"/>
      <c r="BF113" s="157"/>
      <c r="BG113" s="157"/>
      <c r="BH113" s="157"/>
      <c r="BI113" s="181"/>
      <c r="BJ113" s="157" t="str">
        <f t="shared" si="133"/>
        <v>灵山县人民政府3月</v>
      </c>
      <c r="BK113" s="157" t="s">
        <v>205</v>
      </c>
      <c r="BL113" s="157" t="s">
        <v>1980</v>
      </c>
      <c r="BM113" s="201" t="str">
        <f t="shared" si="134"/>
        <v>政府灵山县人民政府</v>
      </c>
      <c r="BN113" s="201" t="str">
        <f t="shared" si="135"/>
        <v>基础设施灵山县人民政府</v>
      </c>
      <c r="BO113" s="201">
        <f t="shared" si="136"/>
        <v>0</v>
      </c>
      <c r="BP113" s="157"/>
      <c r="BQ113" s="157">
        <f t="shared" si="137"/>
        <v>0</v>
      </c>
      <c r="BR113" s="157">
        <f t="shared" si="138"/>
        <v>0</v>
      </c>
      <c r="BS113" s="157">
        <f t="shared" si="139"/>
        <v>0</v>
      </c>
      <c r="BT113" s="157">
        <f t="shared" si="140"/>
        <v>1</v>
      </c>
      <c r="BU113" s="157">
        <f t="shared" si="141"/>
        <v>0</v>
      </c>
      <c r="BV113" s="181"/>
      <c r="BW113" s="206"/>
      <c r="BX113" s="4" t="s">
        <v>1895</v>
      </c>
      <c r="BY113" s="4"/>
      <c r="BZ113" s="4"/>
      <c r="CA113" s="4"/>
      <c r="CB113" s="4"/>
      <c r="CC113" s="4"/>
    </row>
    <row r="114" s="9" customFormat="1" ht="25.9" customHeight="1" spans="1:74">
      <c r="A114" s="788"/>
      <c r="B114" s="557" t="str">
        <f>"供水工程（"&amp;SUBTOTAL(3,C115:C115)&amp;"个）"</f>
        <v>供水工程（1个）</v>
      </c>
      <c r="C114" s="551"/>
      <c r="D114" s="554"/>
      <c r="E114" s="551"/>
      <c r="F114" s="134">
        <f t="shared" ref="F114:M114" si="142">SUBTOTAL(9,F115:F115)</f>
        <v>11000</v>
      </c>
      <c r="G114" s="134"/>
      <c r="H114" s="134"/>
      <c r="I114" s="134">
        <f t="shared" si="142"/>
        <v>0</v>
      </c>
      <c r="J114" s="134">
        <f t="shared" si="142"/>
        <v>0</v>
      </c>
      <c r="K114" s="134">
        <f t="shared" si="142"/>
        <v>0</v>
      </c>
      <c r="L114" s="134">
        <f t="shared" si="142"/>
        <v>1000</v>
      </c>
      <c r="M114" s="134">
        <f t="shared" si="142"/>
        <v>0</v>
      </c>
      <c r="N114" s="591"/>
      <c r="O114" s="134"/>
      <c r="P114" s="134"/>
      <c r="Q114" s="115"/>
      <c r="R114" s="115"/>
      <c r="S114" s="115"/>
      <c r="T114" s="115"/>
      <c r="U114" s="115"/>
      <c r="V114" s="115"/>
      <c r="W114" s="115"/>
      <c r="X114" s="90"/>
      <c r="Y114" s="90"/>
      <c r="Z114" s="132"/>
      <c r="AA114" s="132"/>
      <c r="AB114" s="132"/>
      <c r="AC114" s="132"/>
      <c r="AD114" s="132"/>
      <c r="AE114" s="132"/>
      <c r="AF114" s="132"/>
      <c r="AG114" s="132"/>
      <c r="AH114" s="132"/>
      <c r="AI114" s="132"/>
      <c r="AJ114" s="132"/>
      <c r="AK114" s="132"/>
      <c r="AL114" s="132"/>
      <c r="AM114" s="132"/>
      <c r="AN114" s="132"/>
      <c r="AO114" s="132"/>
      <c r="AP114" s="132"/>
      <c r="AQ114" s="90"/>
      <c r="AR114" s="112"/>
      <c r="AS114" s="591"/>
      <c r="AT114" s="134"/>
      <c r="AU114" s="134"/>
      <c r="AV114" s="93"/>
      <c r="AW114" s="165"/>
      <c r="AX114" s="158"/>
      <c r="AY114" s="158"/>
      <c r="AZ114" s="158"/>
      <c r="BA114" s="158"/>
      <c r="BB114" s="169"/>
      <c r="BC114" s="165"/>
      <c r="BD114" s="165"/>
      <c r="BE114" s="165"/>
      <c r="BF114" s="169"/>
      <c r="BG114" s="169"/>
      <c r="BH114" s="169"/>
      <c r="BI114" s="183"/>
      <c r="BJ114" s="165"/>
      <c r="BK114" s="157"/>
      <c r="BL114" s="157"/>
      <c r="BN114" s="201"/>
      <c r="BO114" s="7"/>
      <c r="BP114" s="157"/>
      <c r="BQ114" s="157"/>
      <c r="BR114" s="157"/>
      <c r="BS114" s="157"/>
      <c r="BT114" s="157"/>
      <c r="BU114" s="157"/>
      <c r="BV114" s="183"/>
    </row>
    <row r="115" ht="72" customHeight="1" spans="1:81">
      <c r="A115" s="23">
        <f>SUBTOTAL(3,C$10:C115)</f>
        <v>90</v>
      </c>
      <c r="B115" s="55" t="s">
        <v>1346</v>
      </c>
      <c r="C115" s="35" t="s">
        <v>79</v>
      </c>
      <c r="D115" s="232" t="s">
        <v>1347</v>
      </c>
      <c r="E115" s="35" t="s">
        <v>143</v>
      </c>
      <c r="F115" s="35">
        <v>11000</v>
      </c>
      <c r="G115" s="35"/>
      <c r="H115" s="81" t="s">
        <v>131</v>
      </c>
      <c r="I115" s="81"/>
      <c r="J115" s="81"/>
      <c r="K115" s="578"/>
      <c r="L115" s="35">
        <v>1000</v>
      </c>
      <c r="M115" s="35"/>
      <c r="N115" s="34" t="s">
        <v>284</v>
      </c>
      <c r="O115" s="50"/>
      <c r="P115" s="118"/>
      <c r="Q115" s="115"/>
      <c r="R115" s="115"/>
      <c r="S115" s="115"/>
      <c r="T115" s="115"/>
      <c r="U115" s="115"/>
      <c r="V115" s="115"/>
      <c r="W115" s="115"/>
      <c r="X115" s="55" t="s">
        <v>132</v>
      </c>
      <c r="Y115" s="90" t="s">
        <v>117</v>
      </c>
      <c r="Z115" s="132"/>
      <c r="AA115" s="132"/>
      <c r="AB115" s="132"/>
      <c r="AC115" s="132"/>
      <c r="AD115" s="132"/>
      <c r="AE115" s="132"/>
      <c r="AF115" s="132"/>
      <c r="AG115" s="132"/>
      <c r="AH115" s="132"/>
      <c r="AI115" s="132"/>
      <c r="AJ115" s="132"/>
      <c r="AK115" s="132"/>
      <c r="AL115" s="132"/>
      <c r="AM115" s="132"/>
      <c r="AN115" s="132"/>
      <c r="AO115" s="132"/>
      <c r="AP115" s="132"/>
      <c r="AQ115" s="90"/>
      <c r="AR115" s="112" t="s">
        <v>202</v>
      </c>
      <c r="AS115" s="34" t="s">
        <v>785</v>
      </c>
      <c r="AT115" s="35" t="s">
        <v>2038</v>
      </c>
      <c r="AU115" s="35" t="s">
        <v>317</v>
      </c>
      <c r="AV115" s="93"/>
      <c r="AW115" s="157"/>
      <c r="AX115" s="158" t="s">
        <v>2039</v>
      </c>
      <c r="AY115" s="158" t="s">
        <v>2017</v>
      </c>
      <c r="AZ115" s="158" t="str">
        <f t="shared" ref="AZ115:AZ120" si="143">AY115&amp;AX115</f>
        <v>城市基础设施供水工程</v>
      </c>
      <c r="BA115" s="158" t="s">
        <v>2039</v>
      </c>
      <c r="BB115" s="272"/>
      <c r="BC115" s="160"/>
      <c r="BD115" s="157"/>
      <c r="BE115" s="157"/>
      <c r="BF115" s="157"/>
      <c r="BG115" s="157"/>
      <c r="BH115" s="157"/>
      <c r="BI115" s="181"/>
      <c r="BJ115" s="157" t="str">
        <f t="shared" ref="BJ115:BJ120" si="144">AU115&amp;H115</f>
        <v>浦北县人民政府12月</v>
      </c>
      <c r="BK115" s="157" t="s">
        <v>205</v>
      </c>
      <c r="BL115" s="157" t="s">
        <v>1980</v>
      </c>
      <c r="BM115" s="201" t="str">
        <f t="shared" ref="BM115:BM120" si="145">BK115&amp;AU115</f>
        <v>政府浦北县人民政府</v>
      </c>
      <c r="BN115" s="201" t="str">
        <f t="shared" ref="BN115:BN120" si="146">BL115&amp;AU115</f>
        <v>基础设施浦北县人民政府</v>
      </c>
      <c r="BO115" s="201">
        <f t="shared" ref="BO115:BO120" si="147">IF(O115&gt;0,1,0)</f>
        <v>0</v>
      </c>
      <c r="BP115" s="157"/>
      <c r="BQ115" s="157">
        <f t="shared" ref="BQ115:BQ120" si="148">IF(Z115&gt;0,1,0)</f>
        <v>0</v>
      </c>
      <c r="BR115" s="157">
        <f t="shared" ref="BR115:BR120" si="149">IF(AF115&gt;0,1,0)</f>
        <v>0</v>
      </c>
      <c r="BS115" s="157">
        <f t="shared" ref="BS115:BS120" si="150">IF(AC115&gt;0,1,0)</f>
        <v>0</v>
      </c>
      <c r="BT115" s="157">
        <f t="shared" ref="BT115:BT120" si="151">IF(AI115&gt;0,1,0)</f>
        <v>0</v>
      </c>
      <c r="BU115" s="157">
        <f t="shared" ref="BU115:BU120" si="152">IF(AL115&gt;0,1,0)</f>
        <v>0</v>
      </c>
      <c r="BV115" s="181"/>
      <c r="BW115" s="206"/>
      <c r="BX115" s="4" t="s">
        <v>1895</v>
      </c>
      <c r="BY115" s="6"/>
      <c r="BZ115" s="228"/>
      <c r="CA115" s="229"/>
      <c r="CB115" s="6"/>
      <c r="CC115" s="6"/>
    </row>
    <row r="116" s="9" customFormat="1" ht="21" customHeight="1" spans="1:74">
      <c r="A116" s="551"/>
      <c r="B116" s="557" t="str">
        <f>"供电工程（"&amp;SUBTOTAL(3,C117:C120)&amp;"个）"</f>
        <v>供电工程（4个）</v>
      </c>
      <c r="C116" s="551"/>
      <c r="D116" s="554"/>
      <c r="E116" s="551"/>
      <c r="F116" s="134">
        <f t="shared" ref="F116:M116" si="153">SUBTOTAL(9,F117:F120)</f>
        <v>36155</v>
      </c>
      <c r="G116" s="134"/>
      <c r="H116" s="134"/>
      <c r="I116" s="134">
        <f t="shared" si="153"/>
        <v>620</v>
      </c>
      <c r="J116" s="134">
        <f t="shared" si="153"/>
        <v>10208</v>
      </c>
      <c r="K116" s="134">
        <f t="shared" si="153"/>
        <v>19474</v>
      </c>
      <c r="L116" s="134">
        <f t="shared" si="153"/>
        <v>27820</v>
      </c>
      <c r="M116" s="134">
        <f t="shared" si="153"/>
        <v>0</v>
      </c>
      <c r="N116" s="591"/>
      <c r="O116" s="134"/>
      <c r="P116" s="134"/>
      <c r="Q116" s="115"/>
      <c r="R116" s="115"/>
      <c r="S116" s="115"/>
      <c r="T116" s="115"/>
      <c r="U116" s="115"/>
      <c r="V116" s="115"/>
      <c r="W116" s="115"/>
      <c r="X116" s="90"/>
      <c r="Y116" s="90"/>
      <c r="Z116" s="132"/>
      <c r="AA116" s="132"/>
      <c r="AB116" s="132"/>
      <c r="AC116" s="132"/>
      <c r="AD116" s="132"/>
      <c r="AE116" s="132"/>
      <c r="AF116" s="132"/>
      <c r="AG116" s="132"/>
      <c r="AH116" s="132"/>
      <c r="AI116" s="132"/>
      <c r="AJ116" s="132"/>
      <c r="AK116" s="132"/>
      <c r="AL116" s="132"/>
      <c r="AM116" s="132"/>
      <c r="AN116" s="132"/>
      <c r="AO116" s="132"/>
      <c r="AP116" s="132"/>
      <c r="AQ116" s="90"/>
      <c r="AR116" s="112"/>
      <c r="AS116" s="591"/>
      <c r="AT116" s="134"/>
      <c r="AU116" s="134"/>
      <c r="AV116" s="93"/>
      <c r="AW116" s="165"/>
      <c r="AX116" s="158"/>
      <c r="AY116" s="158"/>
      <c r="AZ116" s="158"/>
      <c r="BA116" s="158"/>
      <c r="BB116" s="169"/>
      <c r="BC116" s="165"/>
      <c r="BD116" s="165"/>
      <c r="BE116" s="165"/>
      <c r="BF116" s="169"/>
      <c r="BG116" s="169"/>
      <c r="BH116" s="169"/>
      <c r="BI116" s="183"/>
      <c r="BJ116" s="165"/>
      <c r="BK116" s="157"/>
      <c r="BL116" s="157"/>
      <c r="BN116" s="201"/>
      <c r="BO116" s="7"/>
      <c r="BP116" s="157"/>
      <c r="BQ116" s="157"/>
      <c r="BR116" s="157"/>
      <c r="BS116" s="157"/>
      <c r="BT116" s="157"/>
      <c r="BU116" s="157"/>
      <c r="BV116" s="183"/>
    </row>
    <row r="117" ht="78" customHeight="1" spans="1:79">
      <c r="A117" s="23">
        <f>SUBTOTAL(3,C$10:C117)</f>
        <v>91</v>
      </c>
      <c r="B117" s="60" t="s">
        <v>1617</v>
      </c>
      <c r="C117" s="59" t="s">
        <v>79</v>
      </c>
      <c r="D117" s="60" t="s">
        <v>1618</v>
      </c>
      <c r="E117" s="59" t="s">
        <v>112</v>
      </c>
      <c r="F117" s="59">
        <v>11500</v>
      </c>
      <c r="G117" s="59"/>
      <c r="H117" s="81" t="s">
        <v>195</v>
      </c>
      <c r="I117" s="59"/>
      <c r="J117" s="37">
        <v>2760</v>
      </c>
      <c r="K117" s="37">
        <v>6440</v>
      </c>
      <c r="L117" s="59">
        <f>F117*0.8</f>
        <v>9200</v>
      </c>
      <c r="M117" s="59"/>
      <c r="N117" s="58" t="s">
        <v>1619</v>
      </c>
      <c r="O117" s="61"/>
      <c r="P117" s="67"/>
      <c r="Q117" s="134" t="s">
        <v>115</v>
      </c>
      <c r="R117" s="134" t="s">
        <v>115</v>
      </c>
      <c r="S117" s="134" t="s">
        <v>115</v>
      </c>
      <c r="T117" s="134" t="s">
        <v>115</v>
      </c>
      <c r="U117" s="134" t="s">
        <v>115</v>
      </c>
      <c r="V117" s="115" t="s">
        <v>115</v>
      </c>
      <c r="W117" s="115" t="s">
        <v>115</v>
      </c>
      <c r="X117" s="90" t="s">
        <v>2040</v>
      </c>
      <c r="Y117" s="90" t="s">
        <v>117</v>
      </c>
      <c r="Z117" s="132"/>
      <c r="AA117" s="132"/>
      <c r="AB117" s="132"/>
      <c r="AC117" s="132"/>
      <c r="AD117" s="132"/>
      <c r="AE117" s="132"/>
      <c r="AF117" s="132"/>
      <c r="AG117" s="132"/>
      <c r="AH117" s="132"/>
      <c r="AI117" s="132"/>
      <c r="AJ117" s="132"/>
      <c r="AK117" s="132"/>
      <c r="AL117" s="132">
        <v>9200</v>
      </c>
      <c r="AM117" s="132"/>
      <c r="AN117" s="132"/>
      <c r="AO117" s="132">
        <v>9200</v>
      </c>
      <c r="AP117" s="132"/>
      <c r="AQ117" s="90"/>
      <c r="AR117" s="112" t="s">
        <v>1620</v>
      </c>
      <c r="AS117" s="58" t="s">
        <v>1586</v>
      </c>
      <c r="AT117" s="59" t="s">
        <v>2041</v>
      </c>
      <c r="AU117" s="59" t="s">
        <v>1621</v>
      </c>
      <c r="AV117" s="93"/>
      <c r="AW117" s="157"/>
      <c r="AX117" s="158" t="s">
        <v>2042</v>
      </c>
      <c r="AY117" s="158" t="s">
        <v>2017</v>
      </c>
      <c r="AZ117" s="158" t="str">
        <f t="shared" si="143"/>
        <v>城市基础设施供电工程</v>
      </c>
      <c r="BA117" s="158" t="s">
        <v>2042</v>
      </c>
      <c r="BB117" s="159"/>
      <c r="BC117" s="160"/>
      <c r="BD117" s="157"/>
      <c r="BE117" s="157"/>
      <c r="BF117" s="157"/>
      <c r="BG117" s="157"/>
      <c r="BH117" s="157"/>
      <c r="BI117" s="181"/>
      <c r="BJ117" s="157" t="str">
        <f t="shared" si="144"/>
        <v>钦南区、钦北区人民政府3月</v>
      </c>
      <c r="BK117" s="157" t="s">
        <v>92</v>
      </c>
      <c r="BL117" s="157" t="s">
        <v>1980</v>
      </c>
      <c r="BM117" s="201" t="str">
        <f t="shared" si="145"/>
        <v>企业钦南区、钦北区人民政府</v>
      </c>
      <c r="BN117" s="201" t="str">
        <f t="shared" si="146"/>
        <v>基础设施钦南区、钦北区人民政府</v>
      </c>
      <c r="BO117" s="201">
        <f t="shared" si="147"/>
        <v>0</v>
      </c>
      <c r="BP117" s="157"/>
      <c r="BQ117" s="157">
        <f t="shared" si="148"/>
        <v>0</v>
      </c>
      <c r="BR117" s="157">
        <f t="shared" si="149"/>
        <v>0</v>
      </c>
      <c r="BS117" s="157">
        <f t="shared" si="150"/>
        <v>0</v>
      </c>
      <c r="BT117" s="157">
        <f t="shared" si="151"/>
        <v>0</v>
      </c>
      <c r="BU117" s="157">
        <f t="shared" si="152"/>
        <v>1</v>
      </c>
      <c r="BV117" s="181"/>
      <c r="BW117" s="206"/>
      <c r="BX117" s="4" t="s">
        <v>1904</v>
      </c>
      <c r="CA117" s="206"/>
    </row>
    <row r="118" ht="48.6" customHeight="1" spans="1:79">
      <c r="A118" s="23">
        <f>SUBTOTAL(3,C$10:C118)</f>
        <v>92</v>
      </c>
      <c r="B118" s="60" t="s">
        <v>1624</v>
      </c>
      <c r="C118" s="59" t="s">
        <v>79</v>
      </c>
      <c r="D118" s="60" t="s">
        <v>2043</v>
      </c>
      <c r="E118" s="59" t="s">
        <v>81</v>
      </c>
      <c r="F118" s="59">
        <v>7500</v>
      </c>
      <c r="G118" s="59"/>
      <c r="H118" s="81" t="s">
        <v>195</v>
      </c>
      <c r="I118" s="36"/>
      <c r="J118" s="37">
        <v>2008</v>
      </c>
      <c r="K118" s="37">
        <v>3514</v>
      </c>
      <c r="L118" s="59">
        <v>5020</v>
      </c>
      <c r="M118" s="59"/>
      <c r="N118" s="58" t="s">
        <v>1626</v>
      </c>
      <c r="O118" s="61"/>
      <c r="P118" s="67"/>
      <c r="Q118" s="134" t="s">
        <v>115</v>
      </c>
      <c r="R118" s="134" t="s">
        <v>115</v>
      </c>
      <c r="S118" s="134" t="s">
        <v>115</v>
      </c>
      <c r="T118" s="134" t="s">
        <v>115</v>
      </c>
      <c r="U118" s="134" t="s">
        <v>115</v>
      </c>
      <c r="V118" s="115"/>
      <c r="W118" s="115" t="s">
        <v>115</v>
      </c>
      <c r="X118" s="90" t="s">
        <v>2040</v>
      </c>
      <c r="Y118" s="90" t="s">
        <v>2044</v>
      </c>
      <c r="Z118" s="132"/>
      <c r="AA118" s="132"/>
      <c r="AB118" s="132"/>
      <c r="AC118" s="132"/>
      <c r="AD118" s="132"/>
      <c r="AE118" s="132"/>
      <c r="AF118" s="132"/>
      <c r="AG118" s="132"/>
      <c r="AH118" s="132"/>
      <c r="AI118" s="132"/>
      <c r="AJ118" s="132"/>
      <c r="AK118" s="132"/>
      <c r="AL118" s="132">
        <v>5020</v>
      </c>
      <c r="AM118" s="132"/>
      <c r="AN118" s="132"/>
      <c r="AO118" s="132">
        <v>5020</v>
      </c>
      <c r="AP118" s="132"/>
      <c r="AQ118" s="90"/>
      <c r="AR118" s="112" t="s">
        <v>1627</v>
      </c>
      <c r="AS118" s="58" t="s">
        <v>1586</v>
      </c>
      <c r="AT118" s="59" t="s">
        <v>2045</v>
      </c>
      <c r="AU118" s="59" t="s">
        <v>359</v>
      </c>
      <c r="AV118" s="93"/>
      <c r="AW118" s="157"/>
      <c r="AX118" s="158" t="s">
        <v>2042</v>
      </c>
      <c r="AY118" s="158" t="s">
        <v>2017</v>
      </c>
      <c r="AZ118" s="158" t="str">
        <f t="shared" si="143"/>
        <v>城市基础设施供电工程</v>
      </c>
      <c r="BA118" s="158" t="s">
        <v>2042</v>
      </c>
      <c r="BB118" s="159"/>
      <c r="BC118" s="160"/>
      <c r="BD118" s="157"/>
      <c r="BE118" s="157"/>
      <c r="BF118" s="157"/>
      <c r="BG118" s="157"/>
      <c r="BH118" s="157"/>
      <c r="BI118" s="181"/>
      <c r="BJ118" s="157" t="str">
        <f t="shared" si="144"/>
        <v>钦南区人民政府3月</v>
      </c>
      <c r="BK118" s="157" t="s">
        <v>92</v>
      </c>
      <c r="BL118" s="157" t="s">
        <v>1980</v>
      </c>
      <c r="BM118" s="201" t="str">
        <f t="shared" si="145"/>
        <v>企业钦南区人民政府</v>
      </c>
      <c r="BN118" s="201" t="str">
        <f t="shared" si="146"/>
        <v>基础设施钦南区人民政府</v>
      </c>
      <c r="BO118" s="201">
        <f t="shared" si="147"/>
        <v>0</v>
      </c>
      <c r="BP118" s="157"/>
      <c r="BQ118" s="157">
        <f t="shared" si="148"/>
        <v>0</v>
      </c>
      <c r="BR118" s="157">
        <f t="shared" si="149"/>
        <v>0</v>
      </c>
      <c r="BS118" s="157">
        <f t="shared" si="150"/>
        <v>0</v>
      </c>
      <c r="BT118" s="157">
        <f t="shared" si="151"/>
        <v>0</v>
      </c>
      <c r="BU118" s="157">
        <f t="shared" si="152"/>
        <v>1</v>
      </c>
      <c r="BV118" s="181"/>
      <c r="BW118" s="206"/>
      <c r="BX118" s="4" t="s">
        <v>1904</v>
      </c>
      <c r="CA118" s="206"/>
    </row>
    <row r="119" ht="62.25" customHeight="1" spans="1:79">
      <c r="A119" s="23">
        <f>SUBTOTAL(3,C$10:C119)</f>
        <v>93</v>
      </c>
      <c r="B119" s="60" t="s">
        <v>1599</v>
      </c>
      <c r="C119" s="59" t="s">
        <v>79</v>
      </c>
      <c r="D119" s="60" t="s">
        <v>1600</v>
      </c>
      <c r="E119" s="59" t="s">
        <v>112</v>
      </c>
      <c r="F119" s="59">
        <v>7860</v>
      </c>
      <c r="G119" s="59"/>
      <c r="H119" s="81" t="s">
        <v>195</v>
      </c>
      <c r="I119" s="37">
        <v>620</v>
      </c>
      <c r="J119" s="37">
        <v>2480</v>
      </c>
      <c r="K119" s="37">
        <v>4340</v>
      </c>
      <c r="L119" s="59">
        <v>6200</v>
      </c>
      <c r="M119" s="59"/>
      <c r="N119" s="58" t="s">
        <v>284</v>
      </c>
      <c r="O119" s="61"/>
      <c r="P119" s="67"/>
      <c r="Q119" s="134" t="s">
        <v>115</v>
      </c>
      <c r="R119" s="134"/>
      <c r="S119" s="134"/>
      <c r="T119" s="134"/>
      <c r="U119" s="134" t="s">
        <v>115</v>
      </c>
      <c r="V119" s="115"/>
      <c r="W119" s="115"/>
      <c r="X119" s="90" t="s">
        <v>2040</v>
      </c>
      <c r="Y119" s="90" t="s">
        <v>2044</v>
      </c>
      <c r="Z119" s="132"/>
      <c r="AA119" s="132"/>
      <c r="AB119" s="132"/>
      <c r="AC119" s="132"/>
      <c r="AD119" s="132"/>
      <c r="AE119" s="132"/>
      <c r="AF119" s="132"/>
      <c r="AG119" s="132"/>
      <c r="AH119" s="132"/>
      <c r="AI119" s="132"/>
      <c r="AJ119" s="132"/>
      <c r="AK119" s="132"/>
      <c r="AL119" s="132"/>
      <c r="AM119" s="132"/>
      <c r="AN119" s="132"/>
      <c r="AO119" s="132"/>
      <c r="AP119" s="132"/>
      <c r="AQ119" s="90"/>
      <c r="AR119" s="112" t="s">
        <v>1601</v>
      </c>
      <c r="AS119" s="58" t="s">
        <v>1586</v>
      </c>
      <c r="AT119" s="59" t="s">
        <v>2046</v>
      </c>
      <c r="AU119" s="59" t="s">
        <v>269</v>
      </c>
      <c r="AV119" s="93"/>
      <c r="AW119" s="157"/>
      <c r="AX119" s="158" t="s">
        <v>2042</v>
      </c>
      <c r="AY119" s="158" t="s">
        <v>2017</v>
      </c>
      <c r="AZ119" s="158" t="str">
        <f t="shared" si="143"/>
        <v>城市基础设施供电工程</v>
      </c>
      <c r="BA119" s="158" t="s">
        <v>2042</v>
      </c>
      <c r="BB119" s="159"/>
      <c r="BC119" s="160"/>
      <c r="BD119" s="157"/>
      <c r="BE119" s="157"/>
      <c r="BF119" s="157"/>
      <c r="BG119" s="157"/>
      <c r="BH119" s="157"/>
      <c r="BI119" s="181"/>
      <c r="BJ119" s="157" t="str">
        <f t="shared" si="144"/>
        <v>灵山县人民政府3月</v>
      </c>
      <c r="BK119" s="157" t="s">
        <v>92</v>
      </c>
      <c r="BL119" s="157" t="s">
        <v>1980</v>
      </c>
      <c r="BM119" s="201" t="str">
        <f t="shared" si="145"/>
        <v>企业灵山县人民政府</v>
      </c>
      <c r="BN119" s="201" t="str">
        <f t="shared" si="146"/>
        <v>基础设施灵山县人民政府</v>
      </c>
      <c r="BO119" s="201">
        <f t="shared" si="147"/>
        <v>0</v>
      </c>
      <c r="BP119" s="157"/>
      <c r="BQ119" s="157">
        <f t="shared" si="148"/>
        <v>0</v>
      </c>
      <c r="BR119" s="157">
        <f t="shared" si="149"/>
        <v>0</v>
      </c>
      <c r="BS119" s="157">
        <f t="shared" si="150"/>
        <v>0</v>
      </c>
      <c r="BT119" s="157">
        <f t="shared" si="151"/>
        <v>0</v>
      </c>
      <c r="BU119" s="157">
        <f t="shared" si="152"/>
        <v>0</v>
      </c>
      <c r="BV119" s="181"/>
      <c r="BW119" s="206"/>
      <c r="BX119" s="4" t="s">
        <v>1904</v>
      </c>
      <c r="CA119" s="206"/>
    </row>
    <row r="120" ht="71.25" customHeight="1" spans="1:79">
      <c r="A120" s="23">
        <f>SUBTOTAL(3,C$10:C120)</f>
        <v>94</v>
      </c>
      <c r="B120" s="60" t="s">
        <v>1608</v>
      </c>
      <c r="C120" s="59" t="s">
        <v>79</v>
      </c>
      <c r="D120" s="60" t="s">
        <v>1609</v>
      </c>
      <c r="E120" s="59" t="s">
        <v>112</v>
      </c>
      <c r="F120" s="59">
        <f>15600-6305</f>
        <v>9295</v>
      </c>
      <c r="G120" s="59"/>
      <c r="H120" s="81" t="s">
        <v>195</v>
      </c>
      <c r="I120" s="37"/>
      <c r="J120" s="37">
        <v>2960</v>
      </c>
      <c r="K120" s="37">
        <v>5180</v>
      </c>
      <c r="L120" s="59">
        <v>7400</v>
      </c>
      <c r="M120" s="59"/>
      <c r="N120" s="58" t="s">
        <v>1610</v>
      </c>
      <c r="O120" s="61"/>
      <c r="P120" s="67"/>
      <c r="Q120" s="134" t="s">
        <v>115</v>
      </c>
      <c r="R120" s="134"/>
      <c r="S120" s="134"/>
      <c r="T120" s="134"/>
      <c r="U120" s="134" t="s">
        <v>115</v>
      </c>
      <c r="V120" s="115"/>
      <c r="W120" s="115"/>
      <c r="X120" s="90" t="s">
        <v>2040</v>
      </c>
      <c r="Y120" s="90" t="s">
        <v>117</v>
      </c>
      <c r="Z120" s="132"/>
      <c r="AA120" s="132"/>
      <c r="AB120" s="132"/>
      <c r="AC120" s="132"/>
      <c r="AD120" s="132"/>
      <c r="AE120" s="132"/>
      <c r="AF120" s="132"/>
      <c r="AG120" s="132"/>
      <c r="AH120" s="132"/>
      <c r="AI120" s="132"/>
      <c r="AJ120" s="132"/>
      <c r="AK120" s="132"/>
      <c r="AL120" s="132"/>
      <c r="AM120" s="132"/>
      <c r="AN120" s="132"/>
      <c r="AO120" s="132"/>
      <c r="AP120" s="132"/>
      <c r="AQ120" s="90"/>
      <c r="AR120" s="112" t="s">
        <v>1611</v>
      </c>
      <c r="AS120" s="58" t="s">
        <v>1586</v>
      </c>
      <c r="AT120" s="59" t="s">
        <v>2047</v>
      </c>
      <c r="AU120" s="59" t="s">
        <v>317</v>
      </c>
      <c r="AV120" s="93"/>
      <c r="AW120" s="157"/>
      <c r="AX120" s="158" t="s">
        <v>2042</v>
      </c>
      <c r="AY120" s="158" t="s">
        <v>2017</v>
      </c>
      <c r="AZ120" s="158" t="str">
        <f t="shared" si="143"/>
        <v>城市基础设施供电工程</v>
      </c>
      <c r="BA120" s="158" t="s">
        <v>2042</v>
      </c>
      <c r="BB120" s="159"/>
      <c r="BC120" s="160"/>
      <c r="BD120" s="157"/>
      <c r="BE120" s="157"/>
      <c r="BF120" s="157"/>
      <c r="BG120" s="157"/>
      <c r="BH120" s="157"/>
      <c r="BI120" s="181"/>
      <c r="BJ120" s="157" t="str">
        <f t="shared" si="144"/>
        <v>浦北县人民政府3月</v>
      </c>
      <c r="BK120" s="157" t="s">
        <v>92</v>
      </c>
      <c r="BL120" s="157" t="s">
        <v>1980</v>
      </c>
      <c r="BM120" s="201" t="str">
        <f t="shared" si="145"/>
        <v>企业浦北县人民政府</v>
      </c>
      <c r="BN120" s="201" t="str">
        <f t="shared" si="146"/>
        <v>基础设施浦北县人民政府</v>
      </c>
      <c r="BO120" s="201">
        <f t="shared" si="147"/>
        <v>0</v>
      </c>
      <c r="BP120" s="157"/>
      <c r="BQ120" s="157">
        <f t="shared" si="148"/>
        <v>0</v>
      </c>
      <c r="BR120" s="157">
        <f t="shared" si="149"/>
        <v>0</v>
      </c>
      <c r="BS120" s="157">
        <f t="shared" si="150"/>
        <v>0</v>
      </c>
      <c r="BT120" s="157">
        <f t="shared" si="151"/>
        <v>0</v>
      </c>
      <c r="BU120" s="157">
        <f t="shared" si="152"/>
        <v>0</v>
      </c>
      <c r="BV120" s="181"/>
      <c r="BW120" s="206"/>
      <c r="BX120" s="4" t="s">
        <v>1904</v>
      </c>
      <c r="CA120" s="206"/>
    </row>
    <row r="121" s="9" customFormat="1" ht="21" customHeight="1" spans="1:74">
      <c r="A121" s="551"/>
      <c r="B121" s="557" t="str">
        <f>"其他（"&amp;SUBTOTAL(3,C122:C128)&amp;"个）"</f>
        <v>其他（7个）</v>
      </c>
      <c r="C121" s="551"/>
      <c r="D121" s="554"/>
      <c r="E121" s="551"/>
      <c r="F121" s="134">
        <f>SUBTOTAL(9,F122:G128)</f>
        <v>134838.66</v>
      </c>
      <c r="G121" s="134">
        <f t="shared" ref="G121:M121" si="154">SUBTOTAL(9,G122:H128)</f>
        <v>0</v>
      </c>
      <c r="H121" s="134"/>
      <c r="I121" s="134">
        <f t="shared" si="154"/>
        <v>2260</v>
      </c>
      <c r="J121" s="134">
        <f t="shared" si="154"/>
        <v>14450</v>
      </c>
      <c r="K121" s="134">
        <f t="shared" si="154"/>
        <v>36240</v>
      </c>
      <c r="L121" s="134">
        <f t="shared" si="154"/>
        <v>23500</v>
      </c>
      <c r="M121" s="134">
        <f t="shared" si="154"/>
        <v>0</v>
      </c>
      <c r="N121" s="591"/>
      <c r="O121" s="134"/>
      <c r="P121" s="134"/>
      <c r="Q121" s="115"/>
      <c r="R121" s="115"/>
      <c r="S121" s="115"/>
      <c r="T121" s="115"/>
      <c r="U121" s="115"/>
      <c r="V121" s="115"/>
      <c r="W121" s="115"/>
      <c r="X121" s="90"/>
      <c r="Y121" s="90"/>
      <c r="Z121" s="132"/>
      <c r="AA121" s="132"/>
      <c r="AB121" s="132"/>
      <c r="AC121" s="132"/>
      <c r="AD121" s="132"/>
      <c r="AE121" s="132"/>
      <c r="AF121" s="132"/>
      <c r="AG121" s="132"/>
      <c r="AH121" s="132"/>
      <c r="AI121" s="132"/>
      <c r="AJ121" s="132"/>
      <c r="AK121" s="132"/>
      <c r="AL121" s="132"/>
      <c r="AM121" s="132"/>
      <c r="AN121" s="132"/>
      <c r="AO121" s="132"/>
      <c r="AP121" s="132"/>
      <c r="AQ121" s="90"/>
      <c r="AR121" s="112"/>
      <c r="AS121" s="591"/>
      <c r="AT121" s="134"/>
      <c r="AU121" s="134"/>
      <c r="AV121" s="93"/>
      <c r="AW121" s="165"/>
      <c r="AX121" s="158"/>
      <c r="AY121" s="158"/>
      <c r="AZ121" s="158"/>
      <c r="BA121" s="158"/>
      <c r="BB121" s="169"/>
      <c r="BC121" s="165"/>
      <c r="BD121" s="165"/>
      <c r="BE121" s="165"/>
      <c r="BF121" s="169"/>
      <c r="BG121" s="169"/>
      <c r="BH121" s="169"/>
      <c r="BI121" s="183"/>
      <c r="BJ121" s="165"/>
      <c r="BK121" s="157"/>
      <c r="BL121" s="157"/>
      <c r="BN121" s="201"/>
      <c r="BO121" s="7"/>
      <c r="BP121" s="157"/>
      <c r="BQ121" s="157"/>
      <c r="BR121" s="157"/>
      <c r="BS121" s="157"/>
      <c r="BT121" s="157"/>
      <c r="BU121" s="157"/>
      <c r="BV121" s="183"/>
    </row>
    <row r="122" ht="81" customHeight="1" spans="1:81">
      <c r="A122" s="23">
        <f>SUBTOTAL(3,C$10:C122)</f>
        <v>95</v>
      </c>
      <c r="B122" s="55" t="s">
        <v>1248</v>
      </c>
      <c r="C122" s="35" t="s">
        <v>79</v>
      </c>
      <c r="D122" s="55" t="s">
        <v>2048</v>
      </c>
      <c r="E122" s="35">
        <v>2019</v>
      </c>
      <c r="F122" s="38">
        <v>1500</v>
      </c>
      <c r="G122" s="38"/>
      <c r="H122" s="81" t="s">
        <v>122</v>
      </c>
      <c r="I122" s="81"/>
      <c r="J122" s="81"/>
      <c r="K122" s="36">
        <v>1500</v>
      </c>
      <c r="L122" s="36">
        <v>1500</v>
      </c>
      <c r="M122" s="38"/>
      <c r="N122" s="791" t="s">
        <v>1250</v>
      </c>
      <c r="O122" s="67"/>
      <c r="P122" s="67"/>
      <c r="Q122" s="730"/>
      <c r="R122" s="730"/>
      <c r="S122" s="730"/>
      <c r="T122" s="730"/>
      <c r="U122" s="730"/>
      <c r="V122" s="730"/>
      <c r="W122" s="730"/>
      <c r="X122" s="90"/>
      <c r="Y122" s="90"/>
      <c r="Z122" s="132"/>
      <c r="AA122" s="132"/>
      <c r="AB122" s="132"/>
      <c r="AC122" s="132"/>
      <c r="AD122" s="132"/>
      <c r="AE122" s="132"/>
      <c r="AF122" s="132"/>
      <c r="AG122" s="132"/>
      <c r="AH122" s="132"/>
      <c r="AI122" s="132"/>
      <c r="AJ122" s="132"/>
      <c r="AK122" s="132"/>
      <c r="AL122" s="115"/>
      <c r="AM122" s="115"/>
      <c r="AN122" s="115"/>
      <c r="AO122" s="132"/>
      <c r="AP122" s="132"/>
      <c r="AQ122" s="90"/>
      <c r="AR122" s="112" t="s">
        <v>117</v>
      </c>
      <c r="AS122" s="796" t="s">
        <v>2049</v>
      </c>
      <c r="AT122" s="67" t="s">
        <v>2050</v>
      </c>
      <c r="AU122" s="796" t="s">
        <v>986</v>
      </c>
      <c r="AV122" s="55"/>
      <c r="AW122" s="157"/>
      <c r="AX122" s="158" t="s">
        <v>2051</v>
      </c>
      <c r="AY122" s="158" t="s">
        <v>2017</v>
      </c>
      <c r="AZ122" s="158" t="str">
        <f>AY122&amp;AX122</f>
        <v>城市基础设施其他</v>
      </c>
      <c r="BA122" s="158" t="s">
        <v>2018</v>
      </c>
      <c r="BB122" s="159"/>
      <c r="BC122" s="160"/>
      <c r="BD122" s="157"/>
      <c r="BE122" s="157"/>
      <c r="BF122" s="157"/>
      <c r="BG122" s="157"/>
      <c r="BH122" s="157"/>
      <c r="BI122" s="181"/>
      <c r="BJ122" s="157" t="str">
        <f>AU122&amp;H122</f>
        <v>市城管执法局6月</v>
      </c>
      <c r="BK122" s="157" t="s">
        <v>205</v>
      </c>
      <c r="BL122" s="157" t="s">
        <v>1980</v>
      </c>
      <c r="BM122" s="201" t="str">
        <f>BK122&amp;AU122</f>
        <v>政府市城管执法局</v>
      </c>
      <c r="BN122" s="201" t="str">
        <f>BL122&amp;AU122</f>
        <v>基础设施市城管执法局</v>
      </c>
      <c r="BO122" s="201">
        <f>IF(O122&gt;0,1,0)</f>
        <v>0</v>
      </c>
      <c r="BP122" s="157"/>
      <c r="BQ122" s="157">
        <f>IF(Z122&gt;0,1,0)</f>
        <v>0</v>
      </c>
      <c r="BR122" s="157">
        <f>IF(AF122&gt;0,1,0)</f>
        <v>0</v>
      </c>
      <c r="BS122" s="157">
        <f>IF(AC122&gt;0,1,0)</f>
        <v>0</v>
      </c>
      <c r="BT122" s="157">
        <f>IF(AI122&gt;0,1,0)</f>
        <v>0</v>
      </c>
      <c r="BU122" s="157">
        <f>IF(AL122&gt;0,1,0)</f>
        <v>0</v>
      </c>
      <c r="BV122" s="181"/>
      <c r="BW122" s="206"/>
      <c r="BY122" s="4"/>
      <c r="BZ122" s="4"/>
      <c r="CA122" s="4"/>
      <c r="CB122" s="4"/>
      <c r="CC122" s="4"/>
    </row>
    <row r="123" ht="73.5" customHeight="1" spans="1:81">
      <c r="A123" s="23">
        <f>SUBTOTAL(3,C$10:C123)</f>
        <v>96</v>
      </c>
      <c r="B123" s="55" t="s">
        <v>1274</v>
      </c>
      <c r="C123" s="35" t="s">
        <v>79</v>
      </c>
      <c r="D123" s="55" t="s">
        <v>1275</v>
      </c>
      <c r="E123" s="35" t="s">
        <v>143</v>
      </c>
      <c r="F123" s="36">
        <v>58837.06</v>
      </c>
      <c r="G123" s="36"/>
      <c r="H123" s="81" t="s">
        <v>131</v>
      </c>
      <c r="I123" s="81"/>
      <c r="J123" s="81"/>
      <c r="K123" s="81"/>
      <c r="L123" s="36">
        <v>1000</v>
      </c>
      <c r="M123" s="36"/>
      <c r="N123" s="112" t="s">
        <v>284</v>
      </c>
      <c r="O123" s="67"/>
      <c r="P123" s="67"/>
      <c r="Q123" s="730" t="s">
        <v>115</v>
      </c>
      <c r="R123" s="730" t="s">
        <v>115</v>
      </c>
      <c r="S123" s="730" t="s">
        <v>115</v>
      </c>
      <c r="T123" s="730" t="s">
        <v>115</v>
      </c>
      <c r="U123" s="730" t="s">
        <v>115</v>
      </c>
      <c r="V123" s="115"/>
      <c r="W123" s="115"/>
      <c r="X123" s="90" t="s">
        <v>2052</v>
      </c>
      <c r="Y123" s="90" t="s">
        <v>2053</v>
      </c>
      <c r="Z123" s="132">
        <f>18.9661*15</f>
        <v>284.4915</v>
      </c>
      <c r="AA123" s="132"/>
      <c r="AB123" s="132">
        <v>284</v>
      </c>
      <c r="AC123" s="132">
        <f>0.8898*15</f>
        <v>13.347</v>
      </c>
      <c r="AD123" s="132"/>
      <c r="AE123" s="132"/>
      <c r="AF123" s="132"/>
      <c r="AG123" s="132"/>
      <c r="AH123" s="132"/>
      <c r="AI123" s="132">
        <v>141</v>
      </c>
      <c r="AJ123" s="132"/>
      <c r="AK123" s="132">
        <v>141</v>
      </c>
      <c r="AL123" s="115">
        <v>1000</v>
      </c>
      <c r="AM123" s="115"/>
      <c r="AN123" s="115"/>
      <c r="AO123" s="132"/>
      <c r="AP123" s="132">
        <v>1000</v>
      </c>
      <c r="AQ123" s="90"/>
      <c r="AR123" s="112" t="s">
        <v>1276</v>
      </c>
      <c r="AS123" s="34" t="s">
        <v>1040</v>
      </c>
      <c r="AT123" s="35" t="s">
        <v>2027</v>
      </c>
      <c r="AU123" s="35" t="s">
        <v>498</v>
      </c>
      <c r="AV123" s="93"/>
      <c r="AW123" s="157"/>
      <c r="AX123" s="158" t="s">
        <v>2051</v>
      </c>
      <c r="AY123" s="158" t="s">
        <v>2017</v>
      </c>
      <c r="AZ123" s="158" t="str">
        <f t="shared" ref="AZ123:AZ128" si="155">AY123&amp;AX123</f>
        <v>城市基础设施其他</v>
      </c>
      <c r="BA123" s="158" t="s">
        <v>2018</v>
      </c>
      <c r="BB123" s="159"/>
      <c r="BC123" s="160"/>
      <c r="BD123" s="157"/>
      <c r="BE123" s="157"/>
      <c r="BF123" s="157"/>
      <c r="BG123" s="157"/>
      <c r="BH123" s="157"/>
      <c r="BI123" s="181"/>
      <c r="BJ123" s="157" t="str">
        <f t="shared" ref="BJ123:BJ128" si="156">AU123&amp;H123</f>
        <v>市滨海新城管委12月</v>
      </c>
      <c r="BK123" s="157" t="s">
        <v>205</v>
      </c>
      <c r="BL123" s="157" t="s">
        <v>1980</v>
      </c>
      <c r="BM123" s="201" t="str">
        <f t="shared" ref="BM123:BM128" si="157">BK123&amp;AU123</f>
        <v>政府市滨海新城管委</v>
      </c>
      <c r="BN123" s="201" t="str">
        <f t="shared" ref="BN123:BN128" si="158">BL123&amp;AU123</f>
        <v>基础设施市滨海新城管委</v>
      </c>
      <c r="BO123" s="201"/>
      <c r="BP123" s="157"/>
      <c r="BQ123" s="157">
        <f t="shared" ref="BQ123:BQ128" si="159">IF(Z123&gt;0,1,0)</f>
        <v>1</v>
      </c>
      <c r="BR123" s="157">
        <f t="shared" ref="BR123:BR128" si="160">IF(AF123&gt;0,1,0)</f>
        <v>0</v>
      </c>
      <c r="BS123" s="157">
        <f t="shared" ref="BS123:BS128" si="161">IF(AC123&gt;0,1,0)</f>
        <v>1</v>
      </c>
      <c r="BT123" s="157">
        <f t="shared" ref="BT123:BT128" si="162">IF(AI123&gt;0,1,0)</f>
        <v>1</v>
      </c>
      <c r="BU123" s="157">
        <f t="shared" ref="BU123:BU128" si="163">IF(AL123&gt;0,1,0)</f>
        <v>1</v>
      </c>
      <c r="BV123" s="181"/>
      <c r="BW123" s="206"/>
      <c r="BY123" s="4"/>
      <c r="BZ123" s="4"/>
      <c r="CA123" s="4"/>
      <c r="CB123" s="4"/>
      <c r="CC123" s="4"/>
    </row>
    <row r="124" ht="54" customHeight="1" spans="1:81">
      <c r="A124" s="23">
        <f>SUBTOTAL(3,C$10:C124)</f>
        <v>97</v>
      </c>
      <c r="B124" s="60" t="s">
        <v>1628</v>
      </c>
      <c r="C124" s="23" t="s">
        <v>79</v>
      </c>
      <c r="D124" s="88" t="s">
        <v>1629</v>
      </c>
      <c r="E124" s="23" t="s">
        <v>112</v>
      </c>
      <c r="F124" s="67">
        <v>3235</v>
      </c>
      <c r="G124" s="67"/>
      <c r="H124" s="67" t="s">
        <v>244</v>
      </c>
      <c r="I124" s="59">
        <v>350</v>
      </c>
      <c r="J124" s="37">
        <v>790</v>
      </c>
      <c r="K124" s="37">
        <v>1600</v>
      </c>
      <c r="L124" s="67">
        <v>2000</v>
      </c>
      <c r="M124" s="67"/>
      <c r="N124" s="123" t="s">
        <v>1630</v>
      </c>
      <c r="O124" s="61"/>
      <c r="P124" s="67"/>
      <c r="Q124" s="134" t="s">
        <v>115</v>
      </c>
      <c r="R124" s="134" t="s">
        <v>115</v>
      </c>
      <c r="S124" s="134" t="s">
        <v>115</v>
      </c>
      <c r="T124" s="134" t="s">
        <v>115</v>
      </c>
      <c r="U124" s="134" t="s">
        <v>115</v>
      </c>
      <c r="V124" s="115"/>
      <c r="W124" s="115" t="s">
        <v>115</v>
      </c>
      <c r="X124" s="90" t="s">
        <v>2040</v>
      </c>
      <c r="Y124" s="90"/>
      <c r="Z124" s="132"/>
      <c r="AA124" s="132"/>
      <c r="AB124" s="132"/>
      <c r="AC124" s="132"/>
      <c r="AD124" s="132"/>
      <c r="AE124" s="132"/>
      <c r="AF124" s="132"/>
      <c r="AG124" s="132"/>
      <c r="AH124" s="132"/>
      <c r="AI124" s="132"/>
      <c r="AJ124" s="132"/>
      <c r="AK124" s="132"/>
      <c r="AL124" s="132">
        <v>5020</v>
      </c>
      <c r="AM124" s="132"/>
      <c r="AN124" s="132"/>
      <c r="AO124" s="132">
        <v>5020</v>
      </c>
      <c r="AP124" s="132"/>
      <c r="AQ124" s="90"/>
      <c r="AR124" s="112" t="s">
        <v>117</v>
      </c>
      <c r="AS124" s="123" t="s">
        <v>2054</v>
      </c>
      <c r="AT124" s="67" t="s">
        <v>2055</v>
      </c>
      <c r="AU124" s="35" t="s">
        <v>359</v>
      </c>
      <c r="AV124" s="93"/>
      <c r="AW124" s="157"/>
      <c r="AX124" s="158" t="s">
        <v>2051</v>
      </c>
      <c r="AY124" s="158" t="s">
        <v>2017</v>
      </c>
      <c r="AZ124" s="158" t="str">
        <f t="shared" si="155"/>
        <v>城市基础设施其他</v>
      </c>
      <c r="BA124" s="158" t="s">
        <v>2018</v>
      </c>
      <c r="BB124" s="159"/>
      <c r="BC124" s="160"/>
      <c r="BD124" s="157"/>
      <c r="BE124" s="157"/>
      <c r="BF124" s="157"/>
      <c r="BG124" s="157"/>
      <c r="BH124" s="157"/>
      <c r="BI124" s="181"/>
      <c r="BJ124" s="157" t="str">
        <f t="shared" si="156"/>
        <v>钦南区人民政府1月</v>
      </c>
      <c r="BK124" s="157" t="s">
        <v>92</v>
      </c>
      <c r="BL124" s="157" t="s">
        <v>1980</v>
      </c>
      <c r="BM124" s="201" t="str">
        <f t="shared" si="157"/>
        <v>企业钦南区人民政府</v>
      </c>
      <c r="BN124" s="201" t="str">
        <f t="shared" si="158"/>
        <v>基础设施钦南区人民政府</v>
      </c>
      <c r="BO124" s="201"/>
      <c r="BP124" s="157"/>
      <c r="BQ124" s="157">
        <f t="shared" si="159"/>
        <v>0</v>
      </c>
      <c r="BR124" s="157">
        <f t="shared" si="160"/>
        <v>0</v>
      </c>
      <c r="BS124" s="157">
        <f t="shared" si="161"/>
        <v>0</v>
      </c>
      <c r="BT124" s="157">
        <f t="shared" si="162"/>
        <v>0</v>
      </c>
      <c r="BU124" s="157">
        <f t="shared" si="163"/>
        <v>1</v>
      </c>
      <c r="BV124" s="181"/>
      <c r="BW124" s="206"/>
      <c r="BY124" s="4"/>
      <c r="BZ124" s="4"/>
      <c r="CA124" s="4"/>
      <c r="CB124" s="4"/>
      <c r="CC124" s="4"/>
    </row>
    <row r="125" ht="54" customHeight="1" spans="1:81">
      <c r="A125" s="23">
        <f>SUBTOTAL(3,C$10:C125)</f>
        <v>98</v>
      </c>
      <c r="B125" s="60" t="s">
        <v>1631</v>
      </c>
      <c r="C125" s="23" t="s">
        <v>79</v>
      </c>
      <c r="D125" s="88" t="s">
        <v>1632</v>
      </c>
      <c r="E125" s="23" t="s">
        <v>112</v>
      </c>
      <c r="F125" s="67">
        <v>1247</v>
      </c>
      <c r="G125" s="67"/>
      <c r="H125" s="67" t="s">
        <v>244</v>
      </c>
      <c r="I125" s="87">
        <v>100</v>
      </c>
      <c r="J125" s="37">
        <v>260</v>
      </c>
      <c r="K125" s="37">
        <v>390</v>
      </c>
      <c r="L125" s="67">
        <v>500</v>
      </c>
      <c r="M125" s="67"/>
      <c r="N125" s="123" t="s">
        <v>2056</v>
      </c>
      <c r="O125" s="61"/>
      <c r="P125" s="67"/>
      <c r="Q125" s="134" t="s">
        <v>115</v>
      </c>
      <c r="R125" s="134" t="s">
        <v>115</v>
      </c>
      <c r="S125" s="134" t="s">
        <v>115</v>
      </c>
      <c r="T125" s="134" t="s">
        <v>115</v>
      </c>
      <c r="U125" s="134" t="s">
        <v>115</v>
      </c>
      <c r="V125" s="115"/>
      <c r="W125" s="115" t="s">
        <v>115</v>
      </c>
      <c r="X125" s="90" t="s">
        <v>2040</v>
      </c>
      <c r="Y125" s="90"/>
      <c r="Z125" s="132"/>
      <c r="AA125" s="132"/>
      <c r="AB125" s="132"/>
      <c r="AC125" s="132"/>
      <c r="AD125" s="132"/>
      <c r="AE125" s="132"/>
      <c r="AF125" s="132"/>
      <c r="AG125" s="132"/>
      <c r="AH125" s="132"/>
      <c r="AI125" s="132"/>
      <c r="AJ125" s="132"/>
      <c r="AK125" s="132"/>
      <c r="AL125" s="132">
        <v>5020</v>
      </c>
      <c r="AM125" s="132"/>
      <c r="AN125" s="132"/>
      <c r="AO125" s="132">
        <v>5020</v>
      </c>
      <c r="AP125" s="132"/>
      <c r="AQ125" s="90"/>
      <c r="AR125" s="112" t="s">
        <v>117</v>
      </c>
      <c r="AS125" s="123" t="s">
        <v>2054</v>
      </c>
      <c r="AT125" s="67" t="s">
        <v>2055</v>
      </c>
      <c r="AU125" s="35" t="s">
        <v>359</v>
      </c>
      <c r="AV125" s="93"/>
      <c r="AW125" s="157"/>
      <c r="AX125" s="158" t="s">
        <v>2051</v>
      </c>
      <c r="AY125" s="158" t="s">
        <v>2017</v>
      </c>
      <c r="AZ125" s="158" t="str">
        <f t="shared" si="155"/>
        <v>城市基础设施其他</v>
      </c>
      <c r="BA125" s="158" t="s">
        <v>2018</v>
      </c>
      <c r="BB125" s="159"/>
      <c r="BC125" s="160"/>
      <c r="BD125" s="157"/>
      <c r="BE125" s="157"/>
      <c r="BF125" s="157"/>
      <c r="BG125" s="157"/>
      <c r="BH125" s="157"/>
      <c r="BI125" s="181"/>
      <c r="BJ125" s="157" t="str">
        <f t="shared" si="156"/>
        <v>钦南区人民政府1月</v>
      </c>
      <c r="BK125" s="157" t="s">
        <v>92</v>
      </c>
      <c r="BL125" s="157" t="s">
        <v>1980</v>
      </c>
      <c r="BM125" s="201" t="str">
        <f t="shared" si="157"/>
        <v>企业钦南区人民政府</v>
      </c>
      <c r="BN125" s="201" t="str">
        <f t="shared" si="158"/>
        <v>基础设施钦南区人民政府</v>
      </c>
      <c r="BO125" s="201"/>
      <c r="BP125" s="157"/>
      <c r="BQ125" s="157">
        <f t="shared" si="159"/>
        <v>0</v>
      </c>
      <c r="BR125" s="157">
        <f t="shared" si="160"/>
        <v>0</v>
      </c>
      <c r="BS125" s="157">
        <f t="shared" si="161"/>
        <v>0</v>
      </c>
      <c r="BT125" s="157">
        <f t="shared" si="162"/>
        <v>0</v>
      </c>
      <c r="BU125" s="157">
        <f t="shared" si="163"/>
        <v>1</v>
      </c>
      <c r="BV125" s="181"/>
      <c r="BW125" s="206"/>
      <c r="BY125" s="4"/>
      <c r="BZ125" s="4"/>
      <c r="CA125" s="4"/>
      <c r="CB125" s="4"/>
      <c r="CC125" s="4"/>
    </row>
    <row r="126" ht="54" customHeight="1" spans="1:81">
      <c r="A126" s="23">
        <f>SUBTOTAL(3,C$10:C126)</f>
        <v>99</v>
      </c>
      <c r="B126" s="60" t="s">
        <v>1633</v>
      </c>
      <c r="C126" s="23" t="s">
        <v>79</v>
      </c>
      <c r="D126" s="88" t="s">
        <v>1634</v>
      </c>
      <c r="E126" s="23" t="s">
        <v>112</v>
      </c>
      <c r="F126" s="67">
        <v>1000</v>
      </c>
      <c r="G126" s="67"/>
      <c r="H126" s="67" t="s">
        <v>244</v>
      </c>
      <c r="I126" s="67">
        <v>100</v>
      </c>
      <c r="J126" s="37">
        <v>260</v>
      </c>
      <c r="K126" s="37">
        <v>350</v>
      </c>
      <c r="L126" s="67">
        <v>500</v>
      </c>
      <c r="M126" s="67"/>
      <c r="N126" s="123" t="s">
        <v>2056</v>
      </c>
      <c r="O126" s="61"/>
      <c r="P126" s="67"/>
      <c r="Q126" s="134" t="s">
        <v>115</v>
      </c>
      <c r="R126" s="134" t="s">
        <v>115</v>
      </c>
      <c r="S126" s="134" t="s">
        <v>115</v>
      </c>
      <c r="T126" s="134" t="s">
        <v>115</v>
      </c>
      <c r="U126" s="134" t="s">
        <v>115</v>
      </c>
      <c r="V126" s="115"/>
      <c r="W126" s="115" t="s">
        <v>115</v>
      </c>
      <c r="X126" s="90" t="s">
        <v>2040</v>
      </c>
      <c r="Y126" s="90"/>
      <c r="Z126" s="132"/>
      <c r="AA126" s="132"/>
      <c r="AB126" s="132"/>
      <c r="AC126" s="132"/>
      <c r="AD126" s="132"/>
      <c r="AE126" s="132"/>
      <c r="AF126" s="132"/>
      <c r="AG126" s="132"/>
      <c r="AH126" s="132"/>
      <c r="AI126" s="132"/>
      <c r="AJ126" s="132"/>
      <c r="AK126" s="132"/>
      <c r="AL126" s="132">
        <v>5020</v>
      </c>
      <c r="AM126" s="132"/>
      <c r="AN126" s="132"/>
      <c r="AO126" s="132">
        <v>5020</v>
      </c>
      <c r="AP126" s="132"/>
      <c r="AQ126" s="90"/>
      <c r="AR126" s="112" t="s">
        <v>117</v>
      </c>
      <c r="AS126" s="123" t="s">
        <v>1586</v>
      </c>
      <c r="AT126" s="67" t="s">
        <v>2055</v>
      </c>
      <c r="AU126" s="35" t="s">
        <v>359</v>
      </c>
      <c r="AV126" s="93"/>
      <c r="AW126" s="157"/>
      <c r="AX126" s="158" t="s">
        <v>2051</v>
      </c>
      <c r="AY126" s="158" t="s">
        <v>2017</v>
      </c>
      <c r="AZ126" s="158" t="str">
        <f t="shared" si="155"/>
        <v>城市基础设施其他</v>
      </c>
      <c r="BA126" s="158" t="s">
        <v>2018</v>
      </c>
      <c r="BB126" s="159"/>
      <c r="BC126" s="160"/>
      <c r="BD126" s="157"/>
      <c r="BE126" s="157"/>
      <c r="BF126" s="157"/>
      <c r="BG126" s="157"/>
      <c r="BH126" s="157"/>
      <c r="BI126" s="181"/>
      <c r="BJ126" s="157" t="str">
        <f t="shared" si="156"/>
        <v>钦南区人民政府1月</v>
      </c>
      <c r="BK126" s="157" t="s">
        <v>92</v>
      </c>
      <c r="BL126" s="157" t="s">
        <v>1980</v>
      </c>
      <c r="BM126" s="201" t="str">
        <f t="shared" si="157"/>
        <v>企业钦南区人民政府</v>
      </c>
      <c r="BN126" s="201" t="str">
        <f t="shared" si="158"/>
        <v>基础设施钦南区人民政府</v>
      </c>
      <c r="BO126" s="201"/>
      <c r="BP126" s="157"/>
      <c r="BQ126" s="157">
        <f t="shared" si="159"/>
        <v>0</v>
      </c>
      <c r="BR126" s="157">
        <f t="shared" si="160"/>
        <v>0</v>
      </c>
      <c r="BS126" s="157">
        <f t="shared" si="161"/>
        <v>0</v>
      </c>
      <c r="BT126" s="157">
        <f t="shared" si="162"/>
        <v>0</v>
      </c>
      <c r="BU126" s="157">
        <f t="shared" si="163"/>
        <v>1</v>
      </c>
      <c r="BV126" s="181"/>
      <c r="BW126" s="206"/>
      <c r="BY126" s="4"/>
      <c r="BZ126" s="4"/>
      <c r="CA126" s="4"/>
      <c r="CB126" s="4"/>
      <c r="CC126" s="4"/>
    </row>
    <row r="127" ht="68.25" customHeight="1" spans="1:81">
      <c r="A127" s="23">
        <f>SUBTOTAL(3,C$10:C127)</f>
        <v>100</v>
      </c>
      <c r="B127" s="60" t="s">
        <v>1546</v>
      </c>
      <c r="C127" s="35" t="s">
        <v>79</v>
      </c>
      <c r="D127" s="88" t="s">
        <v>1547</v>
      </c>
      <c r="E127" s="23" t="s">
        <v>112</v>
      </c>
      <c r="F127" s="67">
        <v>60638.6</v>
      </c>
      <c r="G127" s="67"/>
      <c r="H127" s="67" t="s">
        <v>122</v>
      </c>
      <c r="I127" s="67"/>
      <c r="J127" s="67"/>
      <c r="K127" s="67">
        <v>7500</v>
      </c>
      <c r="L127" s="67">
        <v>15000</v>
      </c>
      <c r="M127" s="67"/>
      <c r="N127" s="123" t="s">
        <v>1548</v>
      </c>
      <c r="O127" s="111"/>
      <c r="P127" s="67"/>
      <c r="Q127" s="115" t="s">
        <v>115</v>
      </c>
      <c r="R127" s="115" t="s">
        <v>115</v>
      </c>
      <c r="S127" s="115" t="s">
        <v>115</v>
      </c>
      <c r="T127" s="115"/>
      <c r="U127" s="115"/>
      <c r="V127" s="115"/>
      <c r="W127" s="115"/>
      <c r="X127" s="90"/>
      <c r="Y127" s="90"/>
      <c r="Z127" s="132">
        <v>50</v>
      </c>
      <c r="AA127" s="132">
        <v>50</v>
      </c>
      <c r="AB127" s="132"/>
      <c r="AC127" s="132"/>
      <c r="AD127" s="132"/>
      <c r="AE127" s="132"/>
      <c r="AF127" s="132"/>
      <c r="AG127" s="132"/>
      <c r="AH127" s="132"/>
      <c r="AI127" s="132">
        <v>50</v>
      </c>
      <c r="AJ127" s="132"/>
      <c r="AK127" s="132">
        <v>50</v>
      </c>
      <c r="AL127" s="132"/>
      <c r="AM127" s="132"/>
      <c r="AN127" s="132"/>
      <c r="AO127" s="132"/>
      <c r="AP127" s="132"/>
      <c r="AQ127" s="90"/>
      <c r="AR127" s="34" t="s">
        <v>117</v>
      </c>
      <c r="AS127" s="123" t="s">
        <v>807</v>
      </c>
      <c r="AT127" s="67" t="s">
        <v>2057</v>
      </c>
      <c r="AU127" s="35" t="s">
        <v>375</v>
      </c>
      <c r="AV127" s="93"/>
      <c r="AW127" s="157"/>
      <c r="AX127" s="158" t="s">
        <v>2051</v>
      </c>
      <c r="AY127" s="158" t="s">
        <v>2017</v>
      </c>
      <c r="AZ127" s="158" t="str">
        <f t="shared" si="155"/>
        <v>城市基础设施其他</v>
      </c>
      <c r="BA127" s="158" t="s">
        <v>2018</v>
      </c>
      <c r="BB127" s="159"/>
      <c r="BC127" s="160"/>
      <c r="BD127" s="157"/>
      <c r="BE127" s="157"/>
      <c r="BF127" s="157"/>
      <c r="BG127" s="157"/>
      <c r="BH127" s="157"/>
      <c r="BI127" s="181"/>
      <c r="BJ127" s="157" t="str">
        <f t="shared" si="156"/>
        <v>钦北区人民政府6月</v>
      </c>
      <c r="BK127" s="157" t="s">
        <v>205</v>
      </c>
      <c r="BL127" s="157" t="s">
        <v>1980</v>
      </c>
      <c r="BM127" s="201" t="str">
        <f t="shared" si="157"/>
        <v>政府钦北区人民政府</v>
      </c>
      <c r="BN127" s="201" t="str">
        <f t="shared" si="158"/>
        <v>基础设施钦北区人民政府</v>
      </c>
      <c r="BO127" s="201"/>
      <c r="BP127" s="157"/>
      <c r="BQ127" s="157">
        <f t="shared" si="159"/>
        <v>1</v>
      </c>
      <c r="BR127" s="157">
        <f t="shared" si="160"/>
        <v>0</v>
      </c>
      <c r="BS127" s="157">
        <f t="shared" si="161"/>
        <v>0</v>
      </c>
      <c r="BT127" s="157">
        <f t="shared" si="162"/>
        <v>1</v>
      </c>
      <c r="BU127" s="157">
        <f t="shared" si="163"/>
        <v>0</v>
      </c>
      <c r="BV127" s="181"/>
      <c r="BW127" s="206"/>
      <c r="BY127" s="4"/>
      <c r="BZ127" s="4"/>
      <c r="CA127" s="4"/>
      <c r="CB127" s="4"/>
      <c r="CC127" s="4"/>
    </row>
    <row r="128" ht="54" customHeight="1" spans="1:81">
      <c r="A128" s="23">
        <f>SUBTOTAL(3,C$10:C128)</f>
        <v>101</v>
      </c>
      <c r="B128" s="628" t="s">
        <v>1370</v>
      </c>
      <c r="C128" s="23" t="s">
        <v>79</v>
      </c>
      <c r="D128" s="66" t="s">
        <v>1371</v>
      </c>
      <c r="E128" s="23" t="s">
        <v>112</v>
      </c>
      <c r="F128" s="67">
        <v>8381</v>
      </c>
      <c r="G128" s="67"/>
      <c r="H128" s="81" t="s">
        <v>177</v>
      </c>
      <c r="I128" s="37">
        <v>0</v>
      </c>
      <c r="J128" s="37">
        <v>400</v>
      </c>
      <c r="K128" s="37">
        <v>1400</v>
      </c>
      <c r="L128" s="67">
        <v>3000</v>
      </c>
      <c r="M128" s="67"/>
      <c r="N128" s="792" t="s">
        <v>1372</v>
      </c>
      <c r="O128" s="61"/>
      <c r="P128" s="67"/>
      <c r="Q128" s="134"/>
      <c r="R128" s="134"/>
      <c r="S128" s="134"/>
      <c r="T128" s="134"/>
      <c r="U128" s="134"/>
      <c r="V128" s="115"/>
      <c r="W128" s="115"/>
      <c r="X128" s="90"/>
      <c r="Y128" s="90"/>
      <c r="Z128" s="132"/>
      <c r="AA128" s="132"/>
      <c r="AB128" s="132"/>
      <c r="AC128" s="132"/>
      <c r="AD128" s="132"/>
      <c r="AE128" s="132"/>
      <c r="AF128" s="132"/>
      <c r="AG128" s="132"/>
      <c r="AH128" s="132"/>
      <c r="AI128" s="132"/>
      <c r="AJ128" s="132"/>
      <c r="AK128" s="132"/>
      <c r="AL128" s="132"/>
      <c r="AM128" s="132"/>
      <c r="AN128" s="132"/>
      <c r="AO128" s="132"/>
      <c r="AP128" s="132"/>
      <c r="AQ128" s="90"/>
      <c r="AR128" s="112" t="s">
        <v>117</v>
      </c>
      <c r="AS128" s="123" t="s">
        <v>807</v>
      </c>
      <c r="AT128" s="35" t="s">
        <v>2058</v>
      </c>
      <c r="AU128" s="67" t="s">
        <v>375</v>
      </c>
      <c r="AV128" s="93"/>
      <c r="AW128" s="157"/>
      <c r="AX128" s="158" t="s">
        <v>2051</v>
      </c>
      <c r="AY128" s="158" t="s">
        <v>2017</v>
      </c>
      <c r="AZ128" s="158" t="str">
        <f t="shared" si="155"/>
        <v>城市基础设施其他</v>
      </c>
      <c r="BA128" s="158" t="s">
        <v>2018</v>
      </c>
      <c r="BB128" s="159"/>
      <c r="BC128" s="160"/>
      <c r="BD128" s="157"/>
      <c r="BE128" s="157"/>
      <c r="BF128" s="157"/>
      <c r="BG128" s="157"/>
      <c r="BH128" s="157"/>
      <c r="BI128" s="181"/>
      <c r="BJ128" s="157" t="str">
        <f t="shared" si="156"/>
        <v>钦北区人民政府4月</v>
      </c>
      <c r="BK128" s="157" t="s">
        <v>205</v>
      </c>
      <c r="BL128" s="157" t="s">
        <v>1980</v>
      </c>
      <c r="BM128" s="201" t="str">
        <f t="shared" si="157"/>
        <v>政府钦北区人民政府</v>
      </c>
      <c r="BN128" s="201" t="str">
        <f t="shared" si="158"/>
        <v>基础设施钦北区人民政府</v>
      </c>
      <c r="BO128" s="201"/>
      <c r="BP128" s="157"/>
      <c r="BQ128" s="157">
        <f t="shared" si="159"/>
        <v>0</v>
      </c>
      <c r="BR128" s="157">
        <f t="shared" si="160"/>
        <v>0</v>
      </c>
      <c r="BS128" s="157">
        <f t="shared" si="161"/>
        <v>0</v>
      </c>
      <c r="BT128" s="157">
        <f t="shared" si="162"/>
        <v>0</v>
      </c>
      <c r="BU128" s="157">
        <f t="shared" si="163"/>
        <v>0</v>
      </c>
      <c r="BV128" s="181"/>
      <c r="BW128" s="206"/>
      <c r="BY128" s="4"/>
      <c r="BZ128" s="4"/>
      <c r="CA128" s="4"/>
      <c r="CB128" s="4"/>
      <c r="CC128" s="4"/>
    </row>
    <row r="129" s="9" customFormat="1" ht="30" customHeight="1" spans="1:73">
      <c r="A129" s="551" t="s">
        <v>2059</v>
      </c>
      <c r="B129" s="557" t="str">
        <f>"园区基础设施（"&amp;SUBTOTAL(3,C19:C160)&amp;"个）"</f>
        <v>园区基础设施（117个）</v>
      </c>
      <c r="C129" s="557"/>
      <c r="D129" s="557"/>
      <c r="E129" s="551"/>
      <c r="F129" s="134">
        <f t="shared" ref="F129:M129" si="164">F130+F133+F135+F148+F150+F152</f>
        <v>466765</v>
      </c>
      <c r="G129" s="134"/>
      <c r="H129" s="134"/>
      <c r="I129" s="134">
        <f t="shared" si="164"/>
        <v>1870</v>
      </c>
      <c r="J129" s="134">
        <f t="shared" si="164"/>
        <v>7777</v>
      </c>
      <c r="K129" s="134">
        <f t="shared" si="164"/>
        <v>33827</v>
      </c>
      <c r="L129" s="134">
        <f t="shared" si="164"/>
        <v>88650</v>
      </c>
      <c r="M129" s="134">
        <f t="shared" si="164"/>
        <v>0</v>
      </c>
      <c r="N129" s="591"/>
      <c r="O129" s="67"/>
      <c r="P129" s="118"/>
      <c r="Q129" s="115"/>
      <c r="R129" s="115"/>
      <c r="S129" s="115"/>
      <c r="T129" s="115"/>
      <c r="U129" s="115"/>
      <c r="V129" s="115"/>
      <c r="W129" s="115"/>
      <c r="X129" s="90"/>
      <c r="Y129" s="90"/>
      <c r="Z129" s="132"/>
      <c r="AA129" s="132"/>
      <c r="AB129" s="132"/>
      <c r="AC129" s="132"/>
      <c r="AD129" s="132"/>
      <c r="AE129" s="132"/>
      <c r="AF129" s="132"/>
      <c r="AG129" s="132"/>
      <c r="AH129" s="132"/>
      <c r="AI129" s="132"/>
      <c r="AJ129" s="132"/>
      <c r="AK129" s="132"/>
      <c r="AL129" s="132"/>
      <c r="AM129" s="132"/>
      <c r="AN129" s="132"/>
      <c r="AO129" s="132"/>
      <c r="AP129" s="132"/>
      <c r="AQ129" s="90"/>
      <c r="AR129" s="112"/>
      <c r="AS129" s="591"/>
      <c r="AT129" s="134"/>
      <c r="AU129" s="134"/>
      <c r="AV129" s="93"/>
      <c r="AW129" s="165"/>
      <c r="AX129" s="158"/>
      <c r="AY129" s="158"/>
      <c r="AZ129" s="158"/>
      <c r="BA129" s="158"/>
      <c r="BB129" s="169"/>
      <c r="BC129" s="165"/>
      <c r="BD129" s="165"/>
      <c r="BE129" s="165"/>
      <c r="BF129" s="169"/>
      <c r="BG129" s="169"/>
      <c r="BH129" s="169"/>
      <c r="BJ129" s="165"/>
      <c r="BK129" s="157"/>
      <c r="BL129" s="157"/>
      <c r="BN129" s="201"/>
      <c r="BO129" s="7"/>
      <c r="BP129" s="157"/>
      <c r="BQ129" s="157"/>
      <c r="BR129" s="157"/>
      <c r="BS129" s="157"/>
      <c r="BT129" s="157"/>
      <c r="BU129" s="157"/>
    </row>
    <row r="130" s="9" customFormat="1" ht="19.5" customHeight="1" spans="1:74">
      <c r="A130" s="551"/>
      <c r="B130" s="557" t="str">
        <f>"生态环保（"&amp;SUBTOTAL(3,C131:C132)&amp;"个）"</f>
        <v>生态环保（2个）</v>
      </c>
      <c r="C130" s="551"/>
      <c r="D130" s="554"/>
      <c r="E130" s="551"/>
      <c r="F130" s="134">
        <f t="shared" ref="F130:M130" si="165">SUBTOTAL(9,F131:F132)</f>
        <v>10264</v>
      </c>
      <c r="G130" s="134">
        <f t="shared" si="165"/>
        <v>0</v>
      </c>
      <c r="H130" s="134"/>
      <c r="I130" s="134">
        <f t="shared" si="165"/>
        <v>10</v>
      </c>
      <c r="J130" s="134">
        <f t="shared" si="165"/>
        <v>200</v>
      </c>
      <c r="K130" s="134">
        <f t="shared" si="165"/>
        <v>1200</v>
      </c>
      <c r="L130" s="134">
        <f t="shared" si="165"/>
        <v>3200</v>
      </c>
      <c r="M130" s="134">
        <f t="shared" si="165"/>
        <v>0</v>
      </c>
      <c r="N130" s="591"/>
      <c r="O130" s="134">
        <f>SUBTOTAL(9,O154:O157)</f>
        <v>0</v>
      </c>
      <c r="P130" s="134">
        <f>SUBTOTAL(9,P154:P157)</f>
        <v>0</v>
      </c>
      <c r="Q130" s="115"/>
      <c r="R130" s="115"/>
      <c r="S130" s="115"/>
      <c r="T130" s="115"/>
      <c r="U130" s="115"/>
      <c r="V130" s="115"/>
      <c r="W130" s="115"/>
      <c r="X130" s="90"/>
      <c r="Y130" s="90"/>
      <c r="Z130" s="132"/>
      <c r="AA130" s="132"/>
      <c r="AB130" s="132"/>
      <c r="AC130" s="132"/>
      <c r="AD130" s="132"/>
      <c r="AE130" s="132"/>
      <c r="AF130" s="132"/>
      <c r="AG130" s="132"/>
      <c r="AH130" s="132"/>
      <c r="AI130" s="132"/>
      <c r="AJ130" s="132"/>
      <c r="AK130" s="132"/>
      <c r="AL130" s="132"/>
      <c r="AM130" s="132"/>
      <c r="AN130" s="132"/>
      <c r="AO130" s="132"/>
      <c r="AP130" s="132"/>
      <c r="AQ130" s="90"/>
      <c r="AR130" s="112"/>
      <c r="AS130" s="591"/>
      <c r="AT130" s="134"/>
      <c r="AU130" s="134"/>
      <c r="AV130" s="93"/>
      <c r="AW130" s="165"/>
      <c r="AX130" s="158"/>
      <c r="AY130" s="158"/>
      <c r="AZ130" s="158"/>
      <c r="BA130" s="158"/>
      <c r="BB130" s="169"/>
      <c r="BC130" s="165"/>
      <c r="BD130" s="165"/>
      <c r="BE130" s="165"/>
      <c r="BF130" s="169"/>
      <c r="BG130" s="169"/>
      <c r="BH130" s="169"/>
      <c r="BI130" s="183"/>
      <c r="BJ130" s="165"/>
      <c r="BK130" s="157"/>
      <c r="BL130" s="157"/>
      <c r="BN130" s="201"/>
      <c r="BO130" s="7"/>
      <c r="BP130" s="157"/>
      <c r="BQ130" s="157"/>
      <c r="BR130" s="157"/>
      <c r="BS130" s="157"/>
      <c r="BT130" s="157"/>
      <c r="BU130" s="157"/>
      <c r="BV130" s="183"/>
    </row>
    <row r="131" ht="63.75" customHeight="1" spans="1:81">
      <c r="A131" s="23">
        <f>SUBTOTAL(3,C$10:C131)</f>
        <v>102</v>
      </c>
      <c r="B131" s="60" t="s">
        <v>1061</v>
      </c>
      <c r="C131" s="23" t="s">
        <v>79</v>
      </c>
      <c r="D131" s="797" t="s">
        <v>1062</v>
      </c>
      <c r="E131" s="23" t="s">
        <v>112</v>
      </c>
      <c r="F131" s="36">
        <v>3894</v>
      </c>
      <c r="G131" s="67"/>
      <c r="H131" s="81" t="s">
        <v>103</v>
      </c>
      <c r="I131" s="37">
        <v>10</v>
      </c>
      <c r="J131" s="37">
        <v>200</v>
      </c>
      <c r="K131" s="37">
        <v>1200</v>
      </c>
      <c r="L131" s="67">
        <v>2200</v>
      </c>
      <c r="M131" s="67"/>
      <c r="N131" s="123" t="s">
        <v>1063</v>
      </c>
      <c r="O131" s="111"/>
      <c r="P131" s="67"/>
      <c r="Q131" s="115"/>
      <c r="R131" s="115"/>
      <c r="S131" s="115"/>
      <c r="T131" s="115"/>
      <c r="U131" s="115"/>
      <c r="V131" s="115"/>
      <c r="W131" s="115"/>
      <c r="X131" s="90"/>
      <c r="Y131" s="90"/>
      <c r="Z131" s="132">
        <v>80</v>
      </c>
      <c r="AA131" s="132"/>
      <c r="AB131" s="132"/>
      <c r="AC131" s="132"/>
      <c r="AD131" s="132"/>
      <c r="AE131" s="132"/>
      <c r="AF131" s="132"/>
      <c r="AG131" s="132"/>
      <c r="AH131" s="132"/>
      <c r="AI131" s="132"/>
      <c r="AJ131" s="132"/>
      <c r="AK131" s="132"/>
      <c r="AL131" s="132"/>
      <c r="AM131" s="132"/>
      <c r="AN131" s="132"/>
      <c r="AO131" s="132"/>
      <c r="AP131" s="132"/>
      <c r="AQ131" s="90"/>
      <c r="AR131" s="112" t="s">
        <v>117</v>
      </c>
      <c r="AS131" s="123" t="s">
        <v>1064</v>
      </c>
      <c r="AT131" s="67" t="s">
        <v>2060</v>
      </c>
      <c r="AU131" s="35" t="s">
        <v>490</v>
      </c>
      <c r="AV131" s="93"/>
      <c r="AW131" s="157"/>
      <c r="AX131" s="158" t="s">
        <v>2016</v>
      </c>
      <c r="AY131" s="158" t="s">
        <v>2061</v>
      </c>
      <c r="AZ131" s="158" t="str">
        <f t="shared" ref="AZ131:AZ134" si="166">AY131&amp;AX131</f>
        <v>园区基础设施生态环保</v>
      </c>
      <c r="BA131" s="158" t="s">
        <v>2018</v>
      </c>
      <c r="BB131" s="159"/>
      <c r="BC131" s="160"/>
      <c r="BD131" s="157"/>
      <c r="BE131" s="157"/>
      <c r="BF131" s="157"/>
      <c r="BG131" s="157"/>
      <c r="BH131" s="157"/>
      <c r="BI131" s="181"/>
      <c r="BJ131" s="157" t="str">
        <f t="shared" ref="BJ131:BJ134" si="167">AU131&amp;H131</f>
        <v>三娘湾管理区管委10月</v>
      </c>
      <c r="BK131" s="157" t="s">
        <v>205</v>
      </c>
      <c r="BL131" s="157" t="s">
        <v>1980</v>
      </c>
      <c r="BM131" s="201" t="str">
        <f t="shared" ref="BM131:BM134" si="168">BK131&amp;AU131</f>
        <v>政府三娘湾管理区管委</v>
      </c>
      <c r="BN131" s="201" t="str">
        <f t="shared" ref="BN131:BN134" si="169">BL131&amp;AU131</f>
        <v>基础设施三娘湾管理区管委</v>
      </c>
      <c r="BO131" s="201">
        <f>IF(O131&gt;0,1,0)</f>
        <v>0</v>
      </c>
      <c r="BP131" s="157"/>
      <c r="BQ131" s="157">
        <f t="shared" ref="BQ131:BQ134" si="170">IF(Z131&gt;0,1,0)</f>
        <v>1</v>
      </c>
      <c r="BR131" s="157">
        <f t="shared" ref="BR131:BR134" si="171">IF(AF131&gt;0,1,0)</f>
        <v>0</v>
      </c>
      <c r="BS131" s="157">
        <f t="shared" ref="BS131:BS134" si="172">IF(AC131&gt;0,1,0)</f>
        <v>0</v>
      </c>
      <c r="BT131" s="157">
        <f t="shared" ref="BT131:BT134" si="173">IF(AI131&gt;0,1,0)</f>
        <v>0</v>
      </c>
      <c r="BU131" s="157">
        <f t="shared" ref="BU131:BU134" si="174">IF(AL131&gt;0,1,0)</f>
        <v>0</v>
      </c>
      <c r="BV131" s="181"/>
      <c r="BW131" s="206"/>
      <c r="BY131" s="4"/>
      <c r="BZ131" s="4"/>
      <c r="CA131" s="4"/>
      <c r="CB131" s="4"/>
      <c r="CC131" s="4"/>
    </row>
    <row r="132" s="6" customFormat="1" ht="63" customHeight="1" spans="1:79">
      <c r="A132" s="23">
        <f>SUBTOTAL(3,C$10:C132)</f>
        <v>103</v>
      </c>
      <c r="B132" s="55" t="s">
        <v>1549</v>
      </c>
      <c r="C132" s="798" t="s">
        <v>79</v>
      </c>
      <c r="D132" s="799" t="s">
        <v>1550</v>
      </c>
      <c r="E132" s="35" t="s">
        <v>112</v>
      </c>
      <c r="F132" s="36">
        <v>6370</v>
      </c>
      <c r="G132" s="36"/>
      <c r="H132" s="81" t="s">
        <v>82</v>
      </c>
      <c r="I132" s="81"/>
      <c r="J132" s="81"/>
      <c r="K132" s="81"/>
      <c r="L132" s="36">
        <v>1000</v>
      </c>
      <c r="M132" s="36"/>
      <c r="N132" s="112" t="s">
        <v>409</v>
      </c>
      <c r="O132" s="111"/>
      <c r="P132" s="118"/>
      <c r="Q132" s="769" t="s">
        <v>115</v>
      </c>
      <c r="R132" s="769"/>
      <c r="S132" s="769" t="s">
        <v>115</v>
      </c>
      <c r="T132" s="769"/>
      <c r="U132" s="769" t="s">
        <v>115</v>
      </c>
      <c r="V132" s="115"/>
      <c r="W132" s="115"/>
      <c r="X132" s="90" t="s">
        <v>2062</v>
      </c>
      <c r="Y132" s="90" t="s">
        <v>372</v>
      </c>
      <c r="Z132" s="134">
        <v>15</v>
      </c>
      <c r="AA132" s="134">
        <v>0</v>
      </c>
      <c r="AB132" s="134">
        <v>15</v>
      </c>
      <c r="AC132" s="132"/>
      <c r="AD132" s="132"/>
      <c r="AE132" s="132"/>
      <c r="AF132" s="132"/>
      <c r="AG132" s="132"/>
      <c r="AH132" s="132"/>
      <c r="AI132" s="132"/>
      <c r="AJ132" s="132"/>
      <c r="AK132" s="132"/>
      <c r="AL132" s="132"/>
      <c r="AM132" s="132"/>
      <c r="AN132" s="132"/>
      <c r="AO132" s="132"/>
      <c r="AP132" s="132"/>
      <c r="AQ132" s="90"/>
      <c r="AR132" s="112" t="s">
        <v>1551</v>
      </c>
      <c r="AS132" s="34" t="s">
        <v>2063</v>
      </c>
      <c r="AT132" s="35" t="s">
        <v>2064</v>
      </c>
      <c r="AU132" s="35" t="s">
        <v>375</v>
      </c>
      <c r="AV132" s="171"/>
      <c r="AW132" s="157"/>
      <c r="AX132" s="158" t="s">
        <v>2016</v>
      </c>
      <c r="AY132" s="158" t="s">
        <v>2061</v>
      </c>
      <c r="AZ132" s="158" t="str">
        <f t="shared" si="166"/>
        <v>园区基础设施生态环保</v>
      </c>
      <c r="BA132" s="158" t="s">
        <v>2018</v>
      </c>
      <c r="BB132" s="167"/>
      <c r="BC132" s="160"/>
      <c r="BD132" s="157"/>
      <c r="BE132" s="157"/>
      <c r="BF132" s="157"/>
      <c r="BG132" s="157"/>
      <c r="BH132" s="157"/>
      <c r="BI132" s="157"/>
      <c r="BJ132" s="157" t="str">
        <f t="shared" si="167"/>
        <v>钦北区人民政府10月</v>
      </c>
      <c r="BK132" s="157" t="s">
        <v>205</v>
      </c>
      <c r="BL132" s="157" t="s">
        <v>1980</v>
      </c>
      <c r="BM132" s="201" t="str">
        <f t="shared" si="168"/>
        <v>政府钦北区人民政府</v>
      </c>
      <c r="BN132" s="201" t="str">
        <f t="shared" si="169"/>
        <v>基础设施钦北区人民政府</v>
      </c>
      <c r="BO132" s="201">
        <f>IF(O132&gt;0,1,0)</f>
        <v>0</v>
      </c>
      <c r="BP132" s="157"/>
      <c r="BQ132" s="157">
        <f t="shared" si="170"/>
        <v>1</v>
      </c>
      <c r="BR132" s="157">
        <f t="shared" si="171"/>
        <v>0</v>
      </c>
      <c r="BS132" s="157">
        <f t="shared" si="172"/>
        <v>0</v>
      </c>
      <c r="BT132" s="157">
        <f t="shared" si="173"/>
        <v>0</v>
      </c>
      <c r="BU132" s="157">
        <f t="shared" si="174"/>
        <v>0</v>
      </c>
      <c r="BV132" s="157"/>
      <c r="BW132" s="206"/>
      <c r="BX132" s="10"/>
      <c r="BY132" s="10"/>
      <c r="BZ132" s="10"/>
      <c r="CA132" s="10"/>
    </row>
    <row r="133" s="9" customFormat="1" ht="40.5" customHeight="1" spans="1:74">
      <c r="A133" s="551"/>
      <c r="B133" s="557" t="str">
        <f>"海域吹填及土地平整（"&amp;SUBTOTAL(3,C134:C134)&amp;"个）"</f>
        <v>海域吹填及土地平整（1个）</v>
      </c>
      <c r="C133" s="551"/>
      <c r="D133" s="554"/>
      <c r="E133" s="551"/>
      <c r="F133" s="134">
        <f t="shared" ref="F133:M133" si="175">SUBTOTAL(9,F134:F134)</f>
        <v>61753</v>
      </c>
      <c r="G133" s="134"/>
      <c r="H133" s="134"/>
      <c r="I133" s="134">
        <f t="shared" si="175"/>
        <v>1000</v>
      </c>
      <c r="J133" s="134">
        <f t="shared" si="175"/>
        <v>3000</v>
      </c>
      <c r="K133" s="134">
        <f t="shared" si="175"/>
        <v>6000</v>
      </c>
      <c r="L133" s="134">
        <f t="shared" si="175"/>
        <v>10000</v>
      </c>
      <c r="M133" s="134">
        <f t="shared" si="175"/>
        <v>0</v>
      </c>
      <c r="N133" s="591"/>
      <c r="O133" s="134">
        <f>SUBTOTAL(9,O135:O135)</f>
        <v>0</v>
      </c>
      <c r="P133" s="134">
        <f>SUBTOTAL(9,P135:P135)</f>
        <v>0</v>
      </c>
      <c r="Q133" s="115"/>
      <c r="R133" s="115"/>
      <c r="S133" s="115"/>
      <c r="T133" s="115"/>
      <c r="U133" s="115"/>
      <c r="V133" s="115"/>
      <c r="W133" s="115"/>
      <c r="X133" s="90"/>
      <c r="Y133" s="90"/>
      <c r="Z133" s="132"/>
      <c r="AA133" s="132"/>
      <c r="AB133" s="132"/>
      <c r="AC133" s="132"/>
      <c r="AD133" s="132"/>
      <c r="AE133" s="132"/>
      <c r="AF133" s="132"/>
      <c r="AG133" s="132"/>
      <c r="AH133" s="132"/>
      <c r="AI133" s="132"/>
      <c r="AJ133" s="132"/>
      <c r="AK133" s="132"/>
      <c r="AL133" s="132"/>
      <c r="AM133" s="132"/>
      <c r="AN133" s="132"/>
      <c r="AO133" s="132"/>
      <c r="AP133" s="132"/>
      <c r="AQ133" s="90"/>
      <c r="AR133" s="112"/>
      <c r="AS133" s="591"/>
      <c r="AT133" s="134"/>
      <c r="AU133" s="134"/>
      <c r="AV133" s="93"/>
      <c r="AW133" s="165"/>
      <c r="AX133" s="158"/>
      <c r="AY133" s="158"/>
      <c r="AZ133" s="158"/>
      <c r="BA133" s="158"/>
      <c r="BB133" s="169"/>
      <c r="BC133" s="165"/>
      <c r="BD133" s="165"/>
      <c r="BE133" s="165"/>
      <c r="BF133" s="169"/>
      <c r="BG133" s="169"/>
      <c r="BH133" s="169"/>
      <c r="BI133" s="183"/>
      <c r="BJ133" s="165"/>
      <c r="BK133" s="157"/>
      <c r="BL133" s="157"/>
      <c r="BN133" s="201"/>
      <c r="BO133" s="7"/>
      <c r="BP133" s="157"/>
      <c r="BQ133" s="157"/>
      <c r="BR133" s="157"/>
      <c r="BS133" s="157"/>
      <c r="BT133" s="157"/>
      <c r="BU133" s="157"/>
      <c r="BV133" s="183"/>
    </row>
    <row r="134" s="9" customFormat="1" ht="87.75" customHeight="1" spans="1:74">
      <c r="A134" s="23">
        <f>SUBTOTAL(3,C$10:C134)</f>
        <v>104</v>
      </c>
      <c r="B134" s="55" t="s">
        <v>999</v>
      </c>
      <c r="C134" s="23" t="s">
        <v>79</v>
      </c>
      <c r="D134" s="55" t="s">
        <v>1000</v>
      </c>
      <c r="E134" s="35" t="s">
        <v>112</v>
      </c>
      <c r="F134" s="38">
        <v>61753</v>
      </c>
      <c r="G134" s="38"/>
      <c r="H134" s="81" t="s">
        <v>244</v>
      </c>
      <c r="I134" s="37">
        <v>1000</v>
      </c>
      <c r="J134" s="37">
        <v>3000</v>
      </c>
      <c r="K134" s="37">
        <v>6000</v>
      </c>
      <c r="L134" s="38">
        <v>10000</v>
      </c>
      <c r="M134" s="38"/>
      <c r="N134" s="123" t="s">
        <v>1001</v>
      </c>
      <c r="O134" s="134"/>
      <c r="P134" s="118"/>
      <c r="Q134" s="134" t="s">
        <v>115</v>
      </c>
      <c r="R134" s="134" t="s">
        <v>115</v>
      </c>
      <c r="S134" s="134" t="s">
        <v>115</v>
      </c>
      <c r="T134" s="134" t="s">
        <v>115</v>
      </c>
      <c r="U134" s="134" t="s">
        <v>115</v>
      </c>
      <c r="V134" s="134" t="s">
        <v>115</v>
      </c>
      <c r="W134" s="134" t="s">
        <v>115</v>
      </c>
      <c r="X134" s="90" t="s">
        <v>2065</v>
      </c>
      <c r="Y134" s="90" t="s">
        <v>2066</v>
      </c>
      <c r="Z134" s="134"/>
      <c r="AA134" s="134"/>
      <c r="AB134" s="134"/>
      <c r="AC134" s="134"/>
      <c r="AD134" s="134"/>
      <c r="AE134" s="134"/>
      <c r="AF134" s="132">
        <v>1386</v>
      </c>
      <c r="AG134" s="132">
        <v>1386</v>
      </c>
      <c r="AH134" s="132"/>
      <c r="AI134" s="132"/>
      <c r="AJ134" s="132"/>
      <c r="AK134" s="132"/>
      <c r="AL134" s="132">
        <v>12000</v>
      </c>
      <c r="AM134" s="132"/>
      <c r="AN134" s="132"/>
      <c r="AO134" s="132">
        <v>5000</v>
      </c>
      <c r="AP134" s="132">
        <f>AL134-AO134</f>
        <v>7000</v>
      </c>
      <c r="AQ134" s="90"/>
      <c r="AR134" s="112" t="s">
        <v>1002</v>
      </c>
      <c r="AS134" s="34" t="s">
        <v>1003</v>
      </c>
      <c r="AT134" s="35" t="s">
        <v>2067</v>
      </c>
      <c r="AU134" s="35" t="s">
        <v>119</v>
      </c>
      <c r="AV134" s="93"/>
      <c r="AW134" s="165"/>
      <c r="AX134" s="158" t="s">
        <v>2068</v>
      </c>
      <c r="AY134" s="158" t="s">
        <v>2061</v>
      </c>
      <c r="AZ134" s="158" t="str">
        <f t="shared" si="166"/>
        <v>园区基础设施海域吹填及土地平整</v>
      </c>
      <c r="BA134" s="158" t="s">
        <v>2018</v>
      </c>
      <c r="BB134" s="169"/>
      <c r="BC134" s="165"/>
      <c r="BD134" s="165"/>
      <c r="BE134" s="165"/>
      <c r="BF134" s="169"/>
      <c r="BG134" s="169"/>
      <c r="BH134" s="169"/>
      <c r="BI134" s="183"/>
      <c r="BJ134" s="157" t="str">
        <f t="shared" si="167"/>
        <v>钦州港区管委1月</v>
      </c>
      <c r="BK134" s="157" t="s">
        <v>205</v>
      </c>
      <c r="BL134" s="157" t="s">
        <v>1980</v>
      </c>
      <c r="BM134" s="201" t="str">
        <f t="shared" si="168"/>
        <v>政府钦州港区管委</v>
      </c>
      <c r="BN134" s="201" t="str">
        <f t="shared" si="169"/>
        <v>基础设施钦州港区管委</v>
      </c>
      <c r="BO134" s="7"/>
      <c r="BP134" s="157"/>
      <c r="BQ134" s="157">
        <f t="shared" si="170"/>
        <v>0</v>
      </c>
      <c r="BR134" s="157">
        <f t="shared" si="171"/>
        <v>1</v>
      </c>
      <c r="BS134" s="157">
        <f t="shared" si="172"/>
        <v>0</v>
      </c>
      <c r="BT134" s="157">
        <f t="shared" si="173"/>
        <v>0</v>
      </c>
      <c r="BU134" s="157">
        <f t="shared" si="174"/>
        <v>1</v>
      </c>
      <c r="BV134" s="183"/>
    </row>
    <row r="135" s="9" customFormat="1" ht="17.25" customHeight="1" spans="1:74">
      <c r="A135" s="23"/>
      <c r="B135" s="557" t="str">
        <f>"路网工程("&amp;SUBTOTAL(3,C136:C147)&amp;"个)"</f>
        <v>路网工程(12个)</v>
      </c>
      <c r="C135" s="551"/>
      <c r="D135" s="554"/>
      <c r="E135" s="551"/>
      <c r="F135" s="134">
        <f t="shared" ref="F135:M135" si="176">SUBTOTAL(9,F136:F147)</f>
        <v>250995</v>
      </c>
      <c r="G135" s="134"/>
      <c r="H135" s="134"/>
      <c r="I135" s="134">
        <f t="shared" si="176"/>
        <v>560</v>
      </c>
      <c r="J135" s="134">
        <f t="shared" si="176"/>
        <v>2700</v>
      </c>
      <c r="K135" s="134">
        <f t="shared" si="176"/>
        <v>18200</v>
      </c>
      <c r="L135" s="134">
        <f t="shared" si="176"/>
        <v>41123</v>
      </c>
      <c r="M135" s="134">
        <f t="shared" si="176"/>
        <v>0</v>
      </c>
      <c r="N135" s="591"/>
      <c r="O135" s="134"/>
      <c r="P135" s="118"/>
      <c r="Q135" s="115"/>
      <c r="R135" s="115"/>
      <c r="S135" s="115"/>
      <c r="T135" s="115"/>
      <c r="U135" s="115"/>
      <c r="V135" s="115"/>
      <c r="W135" s="115"/>
      <c r="X135" s="90"/>
      <c r="Y135" s="90"/>
      <c r="Z135" s="132"/>
      <c r="AA135" s="132"/>
      <c r="AB135" s="132"/>
      <c r="AC135" s="132"/>
      <c r="AD135" s="132"/>
      <c r="AE135" s="132"/>
      <c r="AF135" s="132"/>
      <c r="AG135" s="132"/>
      <c r="AH135" s="132"/>
      <c r="AI135" s="132"/>
      <c r="AJ135" s="132"/>
      <c r="AK135" s="132"/>
      <c r="AL135" s="132"/>
      <c r="AM135" s="132"/>
      <c r="AN135" s="132"/>
      <c r="AO135" s="132"/>
      <c r="AP135" s="132"/>
      <c r="AQ135" s="90"/>
      <c r="AR135" s="112"/>
      <c r="AS135" s="591"/>
      <c r="AT135" s="134"/>
      <c r="AU135" s="134"/>
      <c r="AV135" s="93"/>
      <c r="AW135" s="165"/>
      <c r="AX135" s="158"/>
      <c r="AY135" s="158"/>
      <c r="AZ135" s="158"/>
      <c r="BA135" s="158"/>
      <c r="BB135" s="169"/>
      <c r="BC135" s="165"/>
      <c r="BD135" s="165"/>
      <c r="BE135" s="165"/>
      <c r="BF135" s="169"/>
      <c r="BG135" s="169"/>
      <c r="BH135" s="169"/>
      <c r="BI135" s="183"/>
      <c r="BJ135" s="165"/>
      <c r="BK135" s="157"/>
      <c r="BL135" s="157"/>
      <c r="BN135" s="201"/>
      <c r="BO135" s="7"/>
      <c r="BP135" s="157"/>
      <c r="BQ135" s="157"/>
      <c r="BR135" s="157"/>
      <c r="BS135" s="157"/>
      <c r="BT135" s="157"/>
      <c r="BU135" s="157"/>
      <c r="BV135" s="183"/>
    </row>
    <row r="136" ht="64.5" customHeight="1" spans="1:81">
      <c r="A136" s="23">
        <f>SUBTOTAL(3,C$10:C136)</f>
        <v>105</v>
      </c>
      <c r="B136" s="60" t="s">
        <v>1385</v>
      </c>
      <c r="C136" s="23" t="s">
        <v>79</v>
      </c>
      <c r="D136" s="88" t="s">
        <v>1386</v>
      </c>
      <c r="E136" s="23" t="s">
        <v>81</v>
      </c>
      <c r="F136" s="67">
        <v>47456</v>
      </c>
      <c r="G136" s="67"/>
      <c r="H136" s="83" t="s">
        <v>122</v>
      </c>
      <c r="I136" s="83"/>
      <c r="J136" s="578">
        <v>500</v>
      </c>
      <c r="K136" s="578">
        <v>2000</v>
      </c>
      <c r="L136" s="67">
        <v>5000</v>
      </c>
      <c r="M136" s="67"/>
      <c r="N136" s="123" t="s">
        <v>1387</v>
      </c>
      <c r="O136" s="111"/>
      <c r="P136" s="67"/>
      <c r="Q136" s="134" t="s">
        <v>115</v>
      </c>
      <c r="R136" s="134" t="s">
        <v>115</v>
      </c>
      <c r="S136" s="134" t="s">
        <v>115</v>
      </c>
      <c r="T136" s="134" t="s">
        <v>115</v>
      </c>
      <c r="U136" s="134" t="s">
        <v>115</v>
      </c>
      <c r="V136" s="115"/>
      <c r="W136" s="115"/>
      <c r="X136" s="90" t="s">
        <v>2069</v>
      </c>
      <c r="Y136" s="90" t="s">
        <v>1982</v>
      </c>
      <c r="Z136" s="132">
        <v>265</v>
      </c>
      <c r="AA136" s="132"/>
      <c r="AB136" s="132">
        <f>Z136-AA136</f>
        <v>265</v>
      </c>
      <c r="AC136" s="132"/>
      <c r="AD136" s="132"/>
      <c r="AE136" s="132"/>
      <c r="AF136" s="132"/>
      <c r="AG136" s="132"/>
      <c r="AH136" s="132"/>
      <c r="AI136" s="132"/>
      <c r="AJ136" s="132"/>
      <c r="AK136" s="132"/>
      <c r="AL136" s="132">
        <v>3000</v>
      </c>
      <c r="AM136" s="132"/>
      <c r="AN136" s="132"/>
      <c r="AO136" s="132"/>
      <c r="AP136" s="132">
        <v>3000</v>
      </c>
      <c r="AQ136" s="90"/>
      <c r="AR136" s="112" t="s">
        <v>203</v>
      </c>
      <c r="AS136" s="123" t="s">
        <v>1003</v>
      </c>
      <c r="AT136" s="67" t="s">
        <v>2070</v>
      </c>
      <c r="AU136" s="67" t="s">
        <v>119</v>
      </c>
      <c r="AV136" s="93" t="s">
        <v>2071</v>
      </c>
      <c r="AW136" s="157"/>
      <c r="AX136" s="158" t="s">
        <v>2020</v>
      </c>
      <c r="AY136" s="158" t="s">
        <v>2061</v>
      </c>
      <c r="AZ136" s="158" t="str">
        <f t="shared" ref="AZ136:AZ147" si="177">AY136&amp;AX136</f>
        <v>园区基础设施路网工程</v>
      </c>
      <c r="BA136" s="158" t="s">
        <v>2021</v>
      </c>
      <c r="BB136" s="159"/>
      <c r="BC136" s="160"/>
      <c r="BD136" s="157"/>
      <c r="BE136" s="157"/>
      <c r="BF136" s="157"/>
      <c r="BG136" s="157"/>
      <c r="BH136" s="157"/>
      <c r="BI136" s="181"/>
      <c r="BJ136" s="157" t="str">
        <f t="shared" ref="BJ136:BJ147" si="178">AU136&amp;H136</f>
        <v>钦州港区管委6月</v>
      </c>
      <c r="BK136" s="157" t="s">
        <v>205</v>
      </c>
      <c r="BL136" s="157" t="s">
        <v>1980</v>
      </c>
      <c r="BM136" s="201" t="str">
        <f t="shared" ref="BM136:BM147" si="179">BK136&amp;AU136</f>
        <v>政府钦州港区管委</v>
      </c>
      <c r="BN136" s="201" t="str">
        <f t="shared" ref="BN136:BN147" si="180">BL136&amp;AU136</f>
        <v>基础设施钦州港区管委</v>
      </c>
      <c r="BO136" s="201">
        <f t="shared" ref="BO136:BO147" si="181">IF(O136&gt;0,1,0)</f>
        <v>0</v>
      </c>
      <c r="BP136" s="157"/>
      <c r="BQ136" s="157">
        <f t="shared" ref="BQ136:BQ147" si="182">IF(Z136&gt;0,1,0)</f>
        <v>1</v>
      </c>
      <c r="BR136" s="157">
        <f t="shared" ref="BR136:BR147" si="183">IF(AF136&gt;0,1,0)</f>
        <v>0</v>
      </c>
      <c r="BS136" s="157">
        <f t="shared" ref="BS136:BS147" si="184">IF(AC136&gt;0,1,0)</f>
        <v>0</v>
      </c>
      <c r="BT136" s="157">
        <f t="shared" ref="BT136:BT147" si="185">IF(AI136&gt;0,1,0)</f>
        <v>0</v>
      </c>
      <c r="BU136" s="157">
        <f t="shared" ref="BU136:BU147" si="186">IF(AL136&gt;0,1,0)</f>
        <v>1</v>
      </c>
      <c r="BV136" s="181"/>
      <c r="BW136" s="206"/>
      <c r="BX136" s="4" t="s">
        <v>1904</v>
      </c>
      <c r="BY136" s="4"/>
      <c r="BZ136" s="4"/>
      <c r="CA136" s="4"/>
      <c r="CB136" s="4"/>
      <c r="CC136" s="4"/>
    </row>
    <row r="137" s="6" customFormat="1" ht="66" customHeight="1" spans="1:76">
      <c r="A137" s="23">
        <f>SUBTOTAL(3,C$10:C137)</f>
        <v>106</v>
      </c>
      <c r="B137" s="55" t="s">
        <v>1413</v>
      </c>
      <c r="C137" s="35" t="s">
        <v>79</v>
      </c>
      <c r="D137" s="55" t="s">
        <v>1414</v>
      </c>
      <c r="E137" s="35" t="s">
        <v>81</v>
      </c>
      <c r="F137" s="36">
        <v>42759</v>
      </c>
      <c r="G137" s="800"/>
      <c r="H137" s="801" t="s">
        <v>209</v>
      </c>
      <c r="I137" s="83"/>
      <c r="J137" s="83"/>
      <c r="K137" s="578">
        <v>1500</v>
      </c>
      <c r="L137" s="36">
        <v>3500</v>
      </c>
      <c r="M137" s="36"/>
      <c r="N137" s="112" t="s">
        <v>1415</v>
      </c>
      <c r="O137" s="50"/>
      <c r="P137" s="36"/>
      <c r="Q137" s="730" t="s">
        <v>115</v>
      </c>
      <c r="R137" s="730" t="s">
        <v>115</v>
      </c>
      <c r="S137" s="99"/>
      <c r="T137" s="99"/>
      <c r="U137" s="730" t="s">
        <v>115</v>
      </c>
      <c r="V137" s="99"/>
      <c r="W137" s="99"/>
      <c r="X137" s="90"/>
      <c r="Y137" s="697"/>
      <c r="Z137" s="132">
        <v>198.99</v>
      </c>
      <c r="AA137" s="132">
        <v>198.99</v>
      </c>
      <c r="AB137" s="132"/>
      <c r="AC137" s="132">
        <v>198.99</v>
      </c>
      <c r="AD137" s="132">
        <v>198.99</v>
      </c>
      <c r="AE137" s="132"/>
      <c r="AF137" s="132"/>
      <c r="AG137" s="132"/>
      <c r="AH137" s="132"/>
      <c r="AI137" s="132">
        <v>2</v>
      </c>
      <c r="AJ137" s="132">
        <v>1</v>
      </c>
      <c r="AK137" s="132">
        <v>1</v>
      </c>
      <c r="AL137" s="132"/>
      <c r="AM137" s="132"/>
      <c r="AN137" s="132"/>
      <c r="AO137" s="132"/>
      <c r="AP137" s="132"/>
      <c r="AQ137" s="90"/>
      <c r="AR137" s="112" t="s">
        <v>203</v>
      </c>
      <c r="AS137" s="34" t="s">
        <v>1416</v>
      </c>
      <c r="AT137" s="35" t="s">
        <v>1914</v>
      </c>
      <c r="AU137" s="81" t="s">
        <v>185</v>
      </c>
      <c r="AV137" s="171"/>
      <c r="AW137" s="157"/>
      <c r="AX137" s="158" t="s">
        <v>2020</v>
      </c>
      <c r="AY137" s="158" t="s">
        <v>2061</v>
      </c>
      <c r="AZ137" s="158" t="str">
        <f t="shared" si="177"/>
        <v>园区基础设施路网工程</v>
      </c>
      <c r="BA137" s="158" t="s">
        <v>2021</v>
      </c>
      <c r="BB137" s="167"/>
      <c r="BC137" s="160"/>
      <c r="BD137" s="157"/>
      <c r="BE137" s="157"/>
      <c r="BF137" s="157"/>
      <c r="BG137" s="157"/>
      <c r="BH137" s="157"/>
      <c r="BI137" s="157"/>
      <c r="BJ137" s="157" t="str">
        <f t="shared" si="178"/>
        <v>中马钦州产业园区管委8月</v>
      </c>
      <c r="BK137" s="157" t="s">
        <v>205</v>
      </c>
      <c r="BL137" s="157" t="s">
        <v>1980</v>
      </c>
      <c r="BM137" s="201" t="str">
        <f t="shared" si="179"/>
        <v>政府中马钦州产业园区管委</v>
      </c>
      <c r="BN137" s="201" t="str">
        <f t="shared" si="180"/>
        <v>基础设施中马钦州产业园区管委</v>
      </c>
      <c r="BO137" s="201">
        <f t="shared" si="181"/>
        <v>0</v>
      </c>
      <c r="BP137" s="157"/>
      <c r="BQ137" s="157">
        <f t="shared" si="182"/>
        <v>1</v>
      </c>
      <c r="BR137" s="157">
        <f t="shared" si="183"/>
        <v>0</v>
      </c>
      <c r="BS137" s="157">
        <f t="shared" si="184"/>
        <v>1</v>
      </c>
      <c r="BT137" s="157">
        <f t="shared" si="185"/>
        <v>1</v>
      </c>
      <c r="BU137" s="157">
        <f t="shared" si="186"/>
        <v>0</v>
      </c>
      <c r="BV137" s="157"/>
      <c r="BW137" s="206"/>
      <c r="BX137" s="6" t="s">
        <v>1895</v>
      </c>
    </row>
    <row r="138" s="6" customFormat="1" ht="66" customHeight="1" spans="1:76">
      <c r="A138" s="23">
        <f>SUBTOTAL(3,C$10:C138)</f>
        <v>107</v>
      </c>
      <c r="B138" s="55" t="s">
        <v>1417</v>
      </c>
      <c r="C138" s="35" t="s">
        <v>79</v>
      </c>
      <c r="D138" s="55" t="s">
        <v>1418</v>
      </c>
      <c r="E138" s="35" t="s">
        <v>112</v>
      </c>
      <c r="F138" s="38">
        <v>25218</v>
      </c>
      <c r="G138" s="38"/>
      <c r="H138" s="81" t="s">
        <v>177</v>
      </c>
      <c r="I138" s="81"/>
      <c r="J138" s="37"/>
      <c r="K138" s="37">
        <v>5000</v>
      </c>
      <c r="L138" s="38">
        <v>10000</v>
      </c>
      <c r="M138" s="38"/>
      <c r="N138" s="112" t="s">
        <v>1419</v>
      </c>
      <c r="O138" s="50"/>
      <c r="P138" s="36"/>
      <c r="Q138" s="730" t="s">
        <v>115</v>
      </c>
      <c r="R138" s="730" t="s">
        <v>115</v>
      </c>
      <c r="S138" s="99"/>
      <c r="T138" s="99"/>
      <c r="U138" s="730" t="s">
        <v>115</v>
      </c>
      <c r="V138" s="99"/>
      <c r="W138" s="99"/>
      <c r="X138" s="90" t="s">
        <v>2052</v>
      </c>
      <c r="Y138" s="697" t="s">
        <v>117</v>
      </c>
      <c r="Z138" s="132">
        <v>198.99</v>
      </c>
      <c r="AA138" s="132">
        <v>198.99</v>
      </c>
      <c r="AB138" s="132"/>
      <c r="AC138" s="132">
        <v>198.99</v>
      </c>
      <c r="AD138" s="132">
        <v>198.99</v>
      </c>
      <c r="AE138" s="132"/>
      <c r="AF138" s="132"/>
      <c r="AG138" s="132"/>
      <c r="AH138" s="132"/>
      <c r="AI138" s="132">
        <v>2</v>
      </c>
      <c r="AJ138" s="132">
        <v>1</v>
      </c>
      <c r="AK138" s="132">
        <v>1</v>
      </c>
      <c r="AL138" s="132"/>
      <c r="AM138" s="132"/>
      <c r="AN138" s="132"/>
      <c r="AO138" s="132"/>
      <c r="AP138" s="132"/>
      <c r="AQ138" s="90"/>
      <c r="AR138" s="112" t="s">
        <v>203</v>
      </c>
      <c r="AS138" s="34" t="s">
        <v>1416</v>
      </c>
      <c r="AT138" s="35" t="s">
        <v>1914</v>
      </c>
      <c r="AU138" s="81" t="s">
        <v>185</v>
      </c>
      <c r="AV138" s="171"/>
      <c r="AW138" s="157"/>
      <c r="AX138" s="158" t="s">
        <v>2020</v>
      </c>
      <c r="AY138" s="158" t="s">
        <v>2061</v>
      </c>
      <c r="AZ138" s="158" t="str">
        <f t="shared" si="177"/>
        <v>园区基础设施路网工程</v>
      </c>
      <c r="BA138" s="158" t="s">
        <v>2021</v>
      </c>
      <c r="BB138" s="167"/>
      <c r="BC138" s="160"/>
      <c r="BD138" s="157"/>
      <c r="BE138" s="157"/>
      <c r="BF138" s="157"/>
      <c r="BG138" s="157"/>
      <c r="BH138" s="157"/>
      <c r="BI138" s="157"/>
      <c r="BJ138" s="157" t="str">
        <f t="shared" si="178"/>
        <v>中马钦州产业园区管委4月</v>
      </c>
      <c r="BK138" s="157" t="s">
        <v>205</v>
      </c>
      <c r="BL138" s="157" t="s">
        <v>1980</v>
      </c>
      <c r="BM138" s="201" t="str">
        <f t="shared" si="179"/>
        <v>政府中马钦州产业园区管委</v>
      </c>
      <c r="BN138" s="201" t="str">
        <f t="shared" si="180"/>
        <v>基础设施中马钦州产业园区管委</v>
      </c>
      <c r="BO138" s="201">
        <f t="shared" si="181"/>
        <v>0</v>
      </c>
      <c r="BP138" s="157"/>
      <c r="BQ138" s="157">
        <f t="shared" si="182"/>
        <v>1</v>
      </c>
      <c r="BR138" s="157">
        <f t="shared" si="183"/>
        <v>0</v>
      </c>
      <c r="BS138" s="157">
        <f t="shared" si="184"/>
        <v>1</v>
      </c>
      <c r="BT138" s="157">
        <f t="shared" si="185"/>
        <v>1</v>
      </c>
      <c r="BU138" s="157">
        <f t="shared" si="186"/>
        <v>0</v>
      </c>
      <c r="BV138" s="157"/>
      <c r="BW138" s="206"/>
      <c r="BX138" s="6" t="s">
        <v>1895</v>
      </c>
    </row>
    <row r="139" s="6" customFormat="1" ht="60" customHeight="1" spans="1:76">
      <c r="A139" s="23">
        <f>SUBTOTAL(3,C$10:C139)</f>
        <v>108</v>
      </c>
      <c r="B139" s="55" t="s">
        <v>1421</v>
      </c>
      <c r="C139" s="35" t="s">
        <v>79</v>
      </c>
      <c r="D139" s="55" t="s">
        <v>1422</v>
      </c>
      <c r="E139" s="35" t="s">
        <v>112</v>
      </c>
      <c r="F139" s="38">
        <v>14432</v>
      </c>
      <c r="G139" s="38"/>
      <c r="H139" s="81" t="s">
        <v>144</v>
      </c>
      <c r="I139" s="81"/>
      <c r="J139" s="76">
        <v>200</v>
      </c>
      <c r="K139" s="76">
        <v>1000</v>
      </c>
      <c r="L139" s="38">
        <v>3000</v>
      </c>
      <c r="M139" s="38"/>
      <c r="N139" s="112" t="s">
        <v>1419</v>
      </c>
      <c r="O139" s="36"/>
      <c r="P139" s="118"/>
      <c r="Q139" s="730" t="s">
        <v>115</v>
      </c>
      <c r="R139" s="730" t="s">
        <v>115</v>
      </c>
      <c r="S139" s="730" t="s">
        <v>115</v>
      </c>
      <c r="T139" s="769"/>
      <c r="U139" s="769"/>
      <c r="V139" s="769"/>
      <c r="W139" s="769"/>
      <c r="X139" s="90" t="s">
        <v>2072</v>
      </c>
      <c r="Y139" s="697" t="s">
        <v>117</v>
      </c>
      <c r="Z139" s="132">
        <v>77.4</v>
      </c>
      <c r="AA139" s="132">
        <v>77.4</v>
      </c>
      <c r="AB139" s="132"/>
      <c r="AC139" s="132">
        <v>77.4</v>
      </c>
      <c r="AD139" s="132">
        <v>77.4</v>
      </c>
      <c r="AE139" s="132"/>
      <c r="AF139" s="132"/>
      <c r="AG139" s="132"/>
      <c r="AH139" s="132"/>
      <c r="AI139" s="132">
        <v>2</v>
      </c>
      <c r="AJ139" s="132">
        <v>1</v>
      </c>
      <c r="AK139" s="132">
        <v>1</v>
      </c>
      <c r="AL139" s="132"/>
      <c r="AM139" s="132"/>
      <c r="AN139" s="132"/>
      <c r="AO139" s="132"/>
      <c r="AP139" s="132"/>
      <c r="AQ139" s="90"/>
      <c r="AR139" s="112" t="s">
        <v>203</v>
      </c>
      <c r="AS139" s="34" t="s">
        <v>1416</v>
      </c>
      <c r="AT139" s="35" t="s">
        <v>1914</v>
      </c>
      <c r="AU139" s="81" t="s">
        <v>185</v>
      </c>
      <c r="AV139" s="171"/>
      <c r="AW139" s="157"/>
      <c r="AX139" s="158" t="s">
        <v>2020</v>
      </c>
      <c r="AY139" s="158" t="s">
        <v>2061</v>
      </c>
      <c r="AZ139" s="158" t="str">
        <f t="shared" si="177"/>
        <v>园区基础设施路网工程</v>
      </c>
      <c r="BA139" s="158" t="s">
        <v>2021</v>
      </c>
      <c r="BB139" s="167"/>
      <c r="BC139" s="160"/>
      <c r="BD139" s="157"/>
      <c r="BE139" s="157"/>
      <c r="BF139" s="157"/>
      <c r="BG139" s="157"/>
      <c r="BH139" s="157"/>
      <c r="BI139" s="157"/>
      <c r="BJ139" s="157" t="str">
        <f t="shared" si="178"/>
        <v>中马钦州产业园区管委5月</v>
      </c>
      <c r="BK139" s="157" t="s">
        <v>205</v>
      </c>
      <c r="BL139" s="157" t="s">
        <v>1980</v>
      </c>
      <c r="BM139" s="201" t="str">
        <f t="shared" si="179"/>
        <v>政府中马钦州产业园区管委</v>
      </c>
      <c r="BN139" s="201" t="str">
        <f t="shared" si="180"/>
        <v>基础设施中马钦州产业园区管委</v>
      </c>
      <c r="BO139" s="201">
        <f t="shared" si="181"/>
        <v>0</v>
      </c>
      <c r="BP139" s="157"/>
      <c r="BQ139" s="157">
        <f t="shared" si="182"/>
        <v>1</v>
      </c>
      <c r="BR139" s="157">
        <f t="shared" si="183"/>
        <v>0</v>
      </c>
      <c r="BS139" s="157">
        <f t="shared" si="184"/>
        <v>1</v>
      </c>
      <c r="BT139" s="157">
        <f t="shared" si="185"/>
        <v>1</v>
      </c>
      <c r="BU139" s="157">
        <f t="shared" si="186"/>
        <v>0</v>
      </c>
      <c r="BV139" s="157"/>
      <c r="BW139" s="206"/>
      <c r="BX139" s="6" t="s">
        <v>2073</v>
      </c>
    </row>
    <row r="140" s="6" customFormat="1" ht="65.25" customHeight="1" spans="1:75">
      <c r="A140" s="23">
        <f>SUBTOTAL(3,C$10:C140)</f>
        <v>109</v>
      </c>
      <c r="B140" s="55" t="s">
        <v>1423</v>
      </c>
      <c r="C140" s="35" t="s">
        <v>79</v>
      </c>
      <c r="D140" s="55" t="s">
        <v>1424</v>
      </c>
      <c r="E140" s="35" t="s">
        <v>112</v>
      </c>
      <c r="F140" s="38">
        <v>7651</v>
      </c>
      <c r="G140" s="38"/>
      <c r="H140" s="81" t="s">
        <v>177</v>
      </c>
      <c r="I140" s="81"/>
      <c r="J140" s="37"/>
      <c r="K140" s="76">
        <v>1500</v>
      </c>
      <c r="L140" s="38">
        <v>3000</v>
      </c>
      <c r="M140" s="38"/>
      <c r="N140" s="112" t="s">
        <v>1425</v>
      </c>
      <c r="O140" s="50"/>
      <c r="P140" s="36"/>
      <c r="Q140" s="730" t="s">
        <v>115</v>
      </c>
      <c r="R140" s="730" t="s">
        <v>115</v>
      </c>
      <c r="S140" s="99"/>
      <c r="T140" s="99"/>
      <c r="U140" s="730" t="s">
        <v>115</v>
      </c>
      <c r="V140" s="99"/>
      <c r="W140" s="99"/>
      <c r="X140" s="90" t="s">
        <v>2052</v>
      </c>
      <c r="Y140" s="697" t="s">
        <v>117</v>
      </c>
      <c r="Z140" s="132">
        <v>48.2</v>
      </c>
      <c r="AA140" s="132">
        <v>48.2</v>
      </c>
      <c r="AB140" s="132"/>
      <c r="AC140" s="132">
        <v>48.2</v>
      </c>
      <c r="AD140" s="132">
        <v>48.2</v>
      </c>
      <c r="AE140" s="132"/>
      <c r="AF140" s="132"/>
      <c r="AG140" s="132"/>
      <c r="AH140" s="132"/>
      <c r="AI140" s="132">
        <v>2</v>
      </c>
      <c r="AJ140" s="132">
        <v>1</v>
      </c>
      <c r="AK140" s="132">
        <v>1</v>
      </c>
      <c r="AL140" s="132"/>
      <c r="AM140" s="132"/>
      <c r="AN140" s="132"/>
      <c r="AO140" s="132"/>
      <c r="AP140" s="132"/>
      <c r="AQ140" s="90"/>
      <c r="AR140" s="112" t="s">
        <v>203</v>
      </c>
      <c r="AS140" s="34" t="s">
        <v>1416</v>
      </c>
      <c r="AT140" s="35" t="s">
        <v>1914</v>
      </c>
      <c r="AU140" s="81" t="s">
        <v>185</v>
      </c>
      <c r="AV140" s="171"/>
      <c r="AW140" s="157"/>
      <c r="AX140" s="158" t="s">
        <v>2020</v>
      </c>
      <c r="AY140" s="158" t="s">
        <v>2061</v>
      </c>
      <c r="AZ140" s="158" t="str">
        <f t="shared" si="177"/>
        <v>园区基础设施路网工程</v>
      </c>
      <c r="BA140" s="158" t="s">
        <v>2021</v>
      </c>
      <c r="BB140" s="167"/>
      <c r="BC140" s="160"/>
      <c r="BD140" s="157"/>
      <c r="BE140" s="157"/>
      <c r="BF140" s="157"/>
      <c r="BG140" s="157"/>
      <c r="BH140" s="157"/>
      <c r="BI140" s="157"/>
      <c r="BJ140" s="157" t="str">
        <f t="shared" si="178"/>
        <v>中马钦州产业园区管委4月</v>
      </c>
      <c r="BK140" s="157" t="s">
        <v>205</v>
      </c>
      <c r="BL140" s="157" t="s">
        <v>1980</v>
      </c>
      <c r="BM140" s="201" t="str">
        <f t="shared" si="179"/>
        <v>政府中马钦州产业园区管委</v>
      </c>
      <c r="BN140" s="201" t="str">
        <f t="shared" si="180"/>
        <v>基础设施中马钦州产业园区管委</v>
      </c>
      <c r="BO140" s="201">
        <f t="shared" si="181"/>
        <v>0</v>
      </c>
      <c r="BP140" s="157"/>
      <c r="BQ140" s="157">
        <f t="shared" si="182"/>
        <v>1</v>
      </c>
      <c r="BR140" s="157">
        <f t="shared" si="183"/>
        <v>0</v>
      </c>
      <c r="BS140" s="157">
        <f t="shared" si="184"/>
        <v>1</v>
      </c>
      <c r="BT140" s="157">
        <f t="shared" si="185"/>
        <v>1</v>
      </c>
      <c r="BU140" s="157">
        <f t="shared" si="186"/>
        <v>0</v>
      </c>
      <c r="BV140" s="157"/>
      <c r="BW140" s="206"/>
    </row>
    <row r="141" s="6" customFormat="1" ht="65.25" customHeight="1" spans="1:75">
      <c r="A141" s="23">
        <f>SUBTOTAL(3,C$10:C141)</f>
        <v>110</v>
      </c>
      <c r="B141" s="55" t="s">
        <v>1426</v>
      </c>
      <c r="C141" s="35" t="s">
        <v>79</v>
      </c>
      <c r="D141" s="55" t="s">
        <v>1427</v>
      </c>
      <c r="E141" s="35" t="s">
        <v>2074</v>
      </c>
      <c r="F141" s="35">
        <v>1500</v>
      </c>
      <c r="G141" s="35"/>
      <c r="H141" s="37" t="s">
        <v>195</v>
      </c>
      <c r="I141" s="37">
        <v>200</v>
      </c>
      <c r="J141" s="37">
        <v>700</v>
      </c>
      <c r="K141" s="37">
        <v>1200</v>
      </c>
      <c r="L141" s="35">
        <v>1500</v>
      </c>
      <c r="M141" s="35"/>
      <c r="N141" s="112" t="s">
        <v>1428</v>
      </c>
      <c r="O141" s="50"/>
      <c r="P141" s="36"/>
      <c r="Q141" s="730" t="s">
        <v>115</v>
      </c>
      <c r="R141" s="730" t="s">
        <v>115</v>
      </c>
      <c r="S141" s="99"/>
      <c r="T141" s="99"/>
      <c r="U141" s="730" t="s">
        <v>115</v>
      </c>
      <c r="V141" s="99"/>
      <c r="W141" s="99"/>
      <c r="X141" s="90"/>
      <c r="Y141" s="697"/>
      <c r="Z141" s="132">
        <v>48.2</v>
      </c>
      <c r="AA141" s="132">
        <v>48.2</v>
      </c>
      <c r="AB141" s="132"/>
      <c r="AC141" s="132">
        <v>48.2</v>
      </c>
      <c r="AD141" s="132">
        <v>48.2</v>
      </c>
      <c r="AE141" s="132"/>
      <c r="AF141" s="132"/>
      <c r="AG141" s="132"/>
      <c r="AH141" s="132"/>
      <c r="AI141" s="132">
        <v>2</v>
      </c>
      <c r="AJ141" s="132">
        <v>1</v>
      </c>
      <c r="AK141" s="132">
        <v>1</v>
      </c>
      <c r="AL141" s="132"/>
      <c r="AM141" s="132"/>
      <c r="AN141" s="132"/>
      <c r="AO141" s="132"/>
      <c r="AP141" s="132"/>
      <c r="AQ141" s="90"/>
      <c r="AR141" s="112" t="s">
        <v>117</v>
      </c>
      <c r="AS141" s="595" t="s">
        <v>591</v>
      </c>
      <c r="AT141" s="67" t="s">
        <v>2075</v>
      </c>
      <c r="AU141" s="81" t="s">
        <v>185</v>
      </c>
      <c r="AV141" s="171"/>
      <c r="AW141" s="157"/>
      <c r="AX141" s="158" t="s">
        <v>2020</v>
      </c>
      <c r="AY141" s="158" t="s">
        <v>2061</v>
      </c>
      <c r="AZ141" s="158" t="str">
        <f t="shared" si="177"/>
        <v>园区基础设施路网工程</v>
      </c>
      <c r="BA141" s="158" t="s">
        <v>2021</v>
      </c>
      <c r="BB141" s="167"/>
      <c r="BC141" s="160"/>
      <c r="BD141" s="157"/>
      <c r="BE141" s="157"/>
      <c r="BF141" s="157"/>
      <c r="BG141" s="157"/>
      <c r="BH141" s="157"/>
      <c r="BI141" s="157"/>
      <c r="BJ141" s="157" t="str">
        <f t="shared" si="178"/>
        <v>中马钦州产业园区管委3月</v>
      </c>
      <c r="BK141" s="157" t="s">
        <v>205</v>
      </c>
      <c r="BL141" s="157" t="s">
        <v>1980</v>
      </c>
      <c r="BM141" s="201" t="str">
        <f t="shared" si="179"/>
        <v>政府中马钦州产业园区管委</v>
      </c>
      <c r="BN141" s="201" t="str">
        <f t="shared" si="180"/>
        <v>基础设施中马钦州产业园区管委</v>
      </c>
      <c r="BO141" s="201">
        <f t="shared" si="181"/>
        <v>0</v>
      </c>
      <c r="BP141" s="157"/>
      <c r="BQ141" s="157">
        <f t="shared" si="182"/>
        <v>1</v>
      </c>
      <c r="BR141" s="157">
        <f t="shared" si="183"/>
        <v>0</v>
      </c>
      <c r="BS141" s="157">
        <f t="shared" si="184"/>
        <v>1</v>
      </c>
      <c r="BT141" s="157">
        <f t="shared" si="185"/>
        <v>1</v>
      </c>
      <c r="BU141" s="157">
        <f t="shared" si="186"/>
        <v>0</v>
      </c>
      <c r="BV141" s="157"/>
      <c r="BW141" s="206"/>
    </row>
    <row r="142" s="6" customFormat="1" ht="59.25" customHeight="1" spans="1:79">
      <c r="A142" s="23">
        <f>SUBTOTAL(3,C$10:C142)</f>
        <v>111</v>
      </c>
      <c r="B142" s="60" t="s">
        <v>1524</v>
      </c>
      <c r="C142" s="60" t="s">
        <v>79</v>
      </c>
      <c r="D142" s="60" t="s">
        <v>1525</v>
      </c>
      <c r="E142" s="23" t="s">
        <v>81</v>
      </c>
      <c r="F142" s="67">
        <v>20374</v>
      </c>
      <c r="G142" s="67"/>
      <c r="H142" s="67" t="s">
        <v>263</v>
      </c>
      <c r="I142" s="67"/>
      <c r="J142" s="67"/>
      <c r="K142" s="67">
        <v>2500</v>
      </c>
      <c r="L142" s="67">
        <v>4000</v>
      </c>
      <c r="M142" s="67"/>
      <c r="N142" s="123" t="s">
        <v>1526</v>
      </c>
      <c r="O142" s="244"/>
      <c r="P142" s="118"/>
      <c r="Q142" s="769" t="s">
        <v>115</v>
      </c>
      <c r="R142" s="769" t="s">
        <v>115</v>
      </c>
      <c r="S142" s="769" t="s">
        <v>115</v>
      </c>
      <c r="T142" s="769" t="s">
        <v>115</v>
      </c>
      <c r="U142" s="769" t="s">
        <v>115</v>
      </c>
      <c r="V142" s="115"/>
      <c r="W142" s="115"/>
      <c r="X142" s="701" t="s">
        <v>2076</v>
      </c>
      <c r="Y142" s="90" t="s">
        <v>117</v>
      </c>
      <c r="Z142" s="134"/>
      <c r="AA142" s="134"/>
      <c r="AB142" s="134"/>
      <c r="AC142" s="134"/>
      <c r="AD142" s="134"/>
      <c r="AE142" s="134"/>
      <c r="AF142" s="134"/>
      <c r="AG142" s="134"/>
      <c r="AH142" s="134"/>
      <c r="AI142" s="134"/>
      <c r="AJ142" s="134"/>
      <c r="AK142" s="134"/>
      <c r="AL142" s="134"/>
      <c r="AM142" s="134"/>
      <c r="AN142" s="134"/>
      <c r="AO142" s="134"/>
      <c r="AP142" s="134"/>
      <c r="AQ142" s="90"/>
      <c r="AR142" s="244" t="s">
        <v>1527</v>
      </c>
      <c r="AS142" s="123" t="s">
        <v>1528</v>
      </c>
      <c r="AT142" s="67" t="s">
        <v>2077</v>
      </c>
      <c r="AU142" s="35" t="s">
        <v>359</v>
      </c>
      <c r="AV142" s="171"/>
      <c r="AW142" s="157"/>
      <c r="AX142" s="158" t="s">
        <v>2020</v>
      </c>
      <c r="AY142" s="158" t="s">
        <v>2061</v>
      </c>
      <c r="AZ142" s="158" t="str">
        <f t="shared" si="177"/>
        <v>园区基础设施路网工程</v>
      </c>
      <c r="BA142" s="158" t="s">
        <v>2021</v>
      </c>
      <c r="BB142" s="167"/>
      <c r="BC142" s="160"/>
      <c r="BD142" s="157"/>
      <c r="BE142" s="157"/>
      <c r="BF142" s="157"/>
      <c r="BG142" s="157"/>
      <c r="BH142" s="157"/>
      <c r="BI142" s="157"/>
      <c r="BJ142" s="157" t="str">
        <f t="shared" si="178"/>
        <v>钦南区人民政府7月</v>
      </c>
      <c r="BK142" s="157" t="s">
        <v>205</v>
      </c>
      <c r="BL142" s="157" t="s">
        <v>1980</v>
      </c>
      <c r="BM142" s="201" t="str">
        <f t="shared" si="179"/>
        <v>政府钦南区人民政府</v>
      </c>
      <c r="BN142" s="201" t="str">
        <f t="shared" si="180"/>
        <v>基础设施钦南区人民政府</v>
      </c>
      <c r="BO142" s="201">
        <f t="shared" si="181"/>
        <v>0</v>
      </c>
      <c r="BP142" s="157"/>
      <c r="BQ142" s="157">
        <f t="shared" si="182"/>
        <v>0</v>
      </c>
      <c r="BR142" s="157">
        <f t="shared" si="183"/>
        <v>0</v>
      </c>
      <c r="BS142" s="157">
        <f t="shared" si="184"/>
        <v>0</v>
      </c>
      <c r="BT142" s="157">
        <f t="shared" si="185"/>
        <v>0</v>
      </c>
      <c r="BU142" s="157">
        <f t="shared" si="186"/>
        <v>0</v>
      </c>
      <c r="BV142" s="157"/>
      <c r="BW142" s="206"/>
      <c r="BX142" s="10" t="s">
        <v>1904</v>
      </c>
      <c r="BY142" s="10"/>
      <c r="BZ142" s="10"/>
      <c r="CA142" s="10"/>
    </row>
    <row r="143" s="6" customFormat="1" ht="59.25" customHeight="1" spans="1:79">
      <c r="A143" s="23">
        <f>SUBTOTAL(3,C$10:C143)</f>
        <v>112</v>
      </c>
      <c r="B143" s="799" t="s">
        <v>1541</v>
      </c>
      <c r="C143" s="798" t="s">
        <v>79</v>
      </c>
      <c r="D143" s="799" t="s">
        <v>1542</v>
      </c>
      <c r="E143" s="798" t="s">
        <v>1543</v>
      </c>
      <c r="F143" s="802">
        <v>66361</v>
      </c>
      <c r="G143" s="802"/>
      <c r="H143" s="81" t="s">
        <v>195</v>
      </c>
      <c r="I143" s="81"/>
      <c r="J143" s="37">
        <v>500</v>
      </c>
      <c r="K143" s="37">
        <v>1700</v>
      </c>
      <c r="L143" s="802">
        <v>3000</v>
      </c>
      <c r="M143" s="802"/>
      <c r="N143" s="792" t="s">
        <v>1544</v>
      </c>
      <c r="O143" s="127"/>
      <c r="P143" s="118"/>
      <c r="Q143" s="769" t="s">
        <v>115</v>
      </c>
      <c r="R143" s="769" t="s">
        <v>115</v>
      </c>
      <c r="S143" s="769" t="s">
        <v>115</v>
      </c>
      <c r="T143" s="769" t="s">
        <v>115</v>
      </c>
      <c r="U143" s="769" t="s">
        <v>115</v>
      </c>
      <c r="V143" s="115"/>
      <c r="W143" s="115"/>
      <c r="X143" s="701" t="s">
        <v>2076</v>
      </c>
      <c r="Y143" s="90" t="s">
        <v>117</v>
      </c>
      <c r="Z143" s="134"/>
      <c r="AA143" s="134"/>
      <c r="AB143" s="134"/>
      <c r="AC143" s="134"/>
      <c r="AD143" s="134"/>
      <c r="AE143" s="134"/>
      <c r="AF143" s="134"/>
      <c r="AG143" s="134"/>
      <c r="AH143" s="134"/>
      <c r="AI143" s="134"/>
      <c r="AJ143" s="134"/>
      <c r="AK143" s="134"/>
      <c r="AL143" s="134"/>
      <c r="AM143" s="134"/>
      <c r="AN143" s="134"/>
      <c r="AO143" s="134"/>
      <c r="AP143" s="134"/>
      <c r="AQ143" s="90"/>
      <c r="AR143" s="792" t="s">
        <v>1545</v>
      </c>
      <c r="AS143" s="812" t="s">
        <v>807</v>
      </c>
      <c r="AT143" s="798" t="s">
        <v>2078</v>
      </c>
      <c r="AU143" s="35" t="s">
        <v>375</v>
      </c>
      <c r="AV143" s="171"/>
      <c r="AW143" s="157"/>
      <c r="AX143" s="158" t="s">
        <v>2020</v>
      </c>
      <c r="AY143" s="158" t="s">
        <v>2061</v>
      </c>
      <c r="AZ143" s="158" t="str">
        <f t="shared" si="177"/>
        <v>园区基础设施路网工程</v>
      </c>
      <c r="BA143" s="158" t="s">
        <v>2021</v>
      </c>
      <c r="BB143" s="167"/>
      <c r="BC143" s="160"/>
      <c r="BD143" s="157"/>
      <c r="BE143" s="157"/>
      <c r="BF143" s="157"/>
      <c r="BG143" s="157"/>
      <c r="BH143" s="157"/>
      <c r="BI143" s="157"/>
      <c r="BJ143" s="157" t="str">
        <f t="shared" si="178"/>
        <v>钦北区人民政府3月</v>
      </c>
      <c r="BK143" s="157" t="s">
        <v>205</v>
      </c>
      <c r="BL143" s="157" t="s">
        <v>1980</v>
      </c>
      <c r="BM143" s="201" t="str">
        <f t="shared" si="179"/>
        <v>政府钦北区人民政府</v>
      </c>
      <c r="BN143" s="201" t="str">
        <f t="shared" si="180"/>
        <v>基础设施钦北区人民政府</v>
      </c>
      <c r="BO143" s="201">
        <f t="shared" si="181"/>
        <v>0</v>
      </c>
      <c r="BP143" s="157"/>
      <c r="BQ143" s="157">
        <f t="shared" si="182"/>
        <v>0</v>
      </c>
      <c r="BR143" s="157">
        <f t="shared" si="183"/>
        <v>0</v>
      </c>
      <c r="BS143" s="157">
        <f t="shared" si="184"/>
        <v>0</v>
      </c>
      <c r="BT143" s="157">
        <f t="shared" si="185"/>
        <v>0</v>
      </c>
      <c r="BU143" s="157">
        <f t="shared" si="186"/>
        <v>0</v>
      </c>
      <c r="BV143" s="157"/>
      <c r="BW143" s="206"/>
      <c r="BX143" s="10" t="s">
        <v>1904</v>
      </c>
      <c r="BY143" s="10"/>
      <c r="BZ143" s="10"/>
      <c r="CA143" s="10"/>
    </row>
    <row r="144" s="10" customFormat="1" ht="60.75" customHeight="1" spans="1:75">
      <c r="A144" s="23">
        <f>SUBTOTAL(3,C$10:C144)</f>
        <v>113</v>
      </c>
      <c r="B144" s="55" t="s">
        <v>1494</v>
      </c>
      <c r="C144" s="35" t="s">
        <v>79</v>
      </c>
      <c r="D144" s="55" t="s">
        <v>1495</v>
      </c>
      <c r="E144" s="35" t="s">
        <v>112</v>
      </c>
      <c r="F144" s="36">
        <v>7000</v>
      </c>
      <c r="G144" s="36"/>
      <c r="H144" s="81" t="s">
        <v>82</v>
      </c>
      <c r="I144" s="37"/>
      <c r="J144" s="37"/>
      <c r="K144" s="37">
        <v>400</v>
      </c>
      <c r="L144" s="36">
        <v>2000</v>
      </c>
      <c r="M144" s="36"/>
      <c r="N144" s="58" t="s">
        <v>284</v>
      </c>
      <c r="O144" s="111"/>
      <c r="P144" s="67"/>
      <c r="Q144" s="115" t="s">
        <v>115</v>
      </c>
      <c r="R144" s="115"/>
      <c r="S144" s="115"/>
      <c r="T144" s="115"/>
      <c r="U144" s="115"/>
      <c r="V144" s="115"/>
      <c r="W144" s="115"/>
      <c r="X144" s="90" t="s">
        <v>2079</v>
      </c>
      <c r="Y144" s="90" t="s">
        <v>117</v>
      </c>
      <c r="Z144" s="134"/>
      <c r="AA144" s="134"/>
      <c r="AB144" s="134"/>
      <c r="AC144" s="134"/>
      <c r="AD144" s="134"/>
      <c r="AE144" s="134"/>
      <c r="AF144" s="134"/>
      <c r="AG144" s="134"/>
      <c r="AH144" s="134"/>
      <c r="AI144" s="134"/>
      <c r="AJ144" s="134"/>
      <c r="AK144" s="134"/>
      <c r="AL144" s="134"/>
      <c r="AM144" s="134"/>
      <c r="AN144" s="134"/>
      <c r="AO144" s="134"/>
      <c r="AP144" s="134"/>
      <c r="AQ144" s="90"/>
      <c r="AR144" s="66" t="s">
        <v>1170</v>
      </c>
      <c r="AS144" s="34" t="s">
        <v>1171</v>
      </c>
      <c r="AT144" s="35" t="s">
        <v>2031</v>
      </c>
      <c r="AU144" s="170" t="s">
        <v>269</v>
      </c>
      <c r="AV144" s="171"/>
      <c r="AW144" s="157"/>
      <c r="AX144" s="158" t="s">
        <v>2020</v>
      </c>
      <c r="AY144" s="158" t="s">
        <v>2061</v>
      </c>
      <c r="AZ144" s="158" t="str">
        <f t="shared" si="177"/>
        <v>园区基础设施路网工程</v>
      </c>
      <c r="BA144" s="158" t="s">
        <v>2021</v>
      </c>
      <c r="BB144" s="167"/>
      <c r="BC144" s="160"/>
      <c r="BD144" s="157"/>
      <c r="BE144" s="157"/>
      <c r="BF144" s="157"/>
      <c r="BG144" s="157"/>
      <c r="BH144" s="157"/>
      <c r="BI144" s="157"/>
      <c r="BJ144" s="157" t="str">
        <f t="shared" si="178"/>
        <v>灵山县人民政府10月</v>
      </c>
      <c r="BK144" s="157" t="s">
        <v>205</v>
      </c>
      <c r="BL144" s="157" t="s">
        <v>1980</v>
      </c>
      <c r="BM144" s="201" t="str">
        <f t="shared" si="179"/>
        <v>政府灵山县人民政府</v>
      </c>
      <c r="BN144" s="201" t="str">
        <f t="shared" si="180"/>
        <v>基础设施灵山县人民政府</v>
      </c>
      <c r="BO144" s="201">
        <f t="shared" si="181"/>
        <v>0</v>
      </c>
      <c r="BP144" s="157"/>
      <c r="BQ144" s="157">
        <f t="shared" si="182"/>
        <v>0</v>
      </c>
      <c r="BR144" s="157">
        <f t="shared" si="183"/>
        <v>0</v>
      </c>
      <c r="BS144" s="157">
        <f t="shared" si="184"/>
        <v>0</v>
      </c>
      <c r="BT144" s="157">
        <f t="shared" si="185"/>
        <v>0</v>
      </c>
      <c r="BU144" s="157">
        <f t="shared" si="186"/>
        <v>0</v>
      </c>
      <c r="BV144" s="157"/>
      <c r="BW144" s="206"/>
    </row>
    <row r="145" s="10" customFormat="1" ht="51.75" customHeight="1" spans="1:76">
      <c r="A145" s="23">
        <f>SUBTOTAL(3,C$10:C145)</f>
        <v>114</v>
      </c>
      <c r="B145" s="717" t="s">
        <v>1491</v>
      </c>
      <c r="C145" s="35" t="s">
        <v>79</v>
      </c>
      <c r="D145" s="718" t="s">
        <v>1492</v>
      </c>
      <c r="E145" s="35" t="s">
        <v>112</v>
      </c>
      <c r="F145" s="803">
        <v>11000</v>
      </c>
      <c r="G145" s="803"/>
      <c r="H145" s="81" t="s">
        <v>131</v>
      </c>
      <c r="I145" s="81"/>
      <c r="J145" s="81"/>
      <c r="K145" s="81"/>
      <c r="L145" s="37">
        <v>3300</v>
      </c>
      <c r="M145" s="37"/>
      <c r="N145" s="58" t="s">
        <v>284</v>
      </c>
      <c r="O145" s="111"/>
      <c r="P145" s="115"/>
      <c r="Q145" s="769"/>
      <c r="R145" s="769"/>
      <c r="S145" s="769"/>
      <c r="T145" s="769"/>
      <c r="U145" s="769"/>
      <c r="V145" s="769"/>
      <c r="W145" s="769"/>
      <c r="X145" s="808" t="s">
        <v>132</v>
      </c>
      <c r="Y145" s="90" t="s">
        <v>117</v>
      </c>
      <c r="Z145" s="132">
        <v>200</v>
      </c>
      <c r="AA145" s="132"/>
      <c r="AB145" s="132">
        <v>200</v>
      </c>
      <c r="AC145" s="132"/>
      <c r="AD145" s="132"/>
      <c r="AE145" s="132"/>
      <c r="AF145" s="132"/>
      <c r="AG145" s="132"/>
      <c r="AH145" s="132"/>
      <c r="AI145" s="132"/>
      <c r="AJ145" s="132"/>
      <c r="AK145" s="132"/>
      <c r="AL145" s="132"/>
      <c r="AM145" s="132"/>
      <c r="AN145" s="132"/>
      <c r="AO145" s="132"/>
      <c r="AP145" s="132"/>
      <c r="AQ145" s="90"/>
      <c r="AR145" s="112" t="s">
        <v>117</v>
      </c>
      <c r="AS145" s="813" t="s">
        <v>1493</v>
      </c>
      <c r="AT145" s="35" t="s">
        <v>2080</v>
      </c>
      <c r="AU145" s="170" t="s">
        <v>269</v>
      </c>
      <c r="AV145" s="171"/>
      <c r="AW145" s="157"/>
      <c r="AX145" s="158" t="s">
        <v>2020</v>
      </c>
      <c r="AY145" s="158" t="s">
        <v>2061</v>
      </c>
      <c r="AZ145" s="158" t="str">
        <f t="shared" si="177"/>
        <v>园区基础设施路网工程</v>
      </c>
      <c r="BA145" s="158" t="s">
        <v>2021</v>
      </c>
      <c r="BB145" s="167"/>
      <c r="BC145" s="160"/>
      <c r="BD145" s="157"/>
      <c r="BE145" s="157"/>
      <c r="BF145" s="157"/>
      <c r="BG145" s="157"/>
      <c r="BH145" s="157"/>
      <c r="BI145" s="157"/>
      <c r="BJ145" s="157" t="str">
        <f t="shared" si="178"/>
        <v>灵山县人民政府12月</v>
      </c>
      <c r="BK145" s="157" t="s">
        <v>205</v>
      </c>
      <c r="BL145" s="157" t="s">
        <v>1980</v>
      </c>
      <c r="BM145" s="201" t="str">
        <f t="shared" si="179"/>
        <v>政府灵山县人民政府</v>
      </c>
      <c r="BN145" s="201" t="str">
        <f t="shared" si="180"/>
        <v>基础设施灵山县人民政府</v>
      </c>
      <c r="BO145" s="201">
        <f t="shared" si="181"/>
        <v>0</v>
      </c>
      <c r="BP145" s="157"/>
      <c r="BQ145" s="157">
        <f t="shared" si="182"/>
        <v>1</v>
      </c>
      <c r="BR145" s="157">
        <f t="shared" si="183"/>
        <v>0</v>
      </c>
      <c r="BS145" s="157">
        <f t="shared" si="184"/>
        <v>0</v>
      </c>
      <c r="BT145" s="157">
        <f t="shared" si="185"/>
        <v>0</v>
      </c>
      <c r="BU145" s="157">
        <f t="shared" si="186"/>
        <v>0</v>
      </c>
      <c r="BV145" s="157"/>
      <c r="BW145" s="206"/>
      <c r="BX145" s="10" t="s">
        <v>1895</v>
      </c>
    </row>
    <row r="146" s="10" customFormat="1" ht="60" customHeight="1" spans="1:76">
      <c r="A146" s="23">
        <f>SUBTOTAL(3,C$10:C146)</f>
        <v>115</v>
      </c>
      <c r="B146" s="697" t="s">
        <v>1496</v>
      </c>
      <c r="C146" s="81" t="s">
        <v>79</v>
      </c>
      <c r="D146" s="697" t="s">
        <v>1497</v>
      </c>
      <c r="E146" s="81" t="s">
        <v>81</v>
      </c>
      <c r="F146" s="37">
        <v>5421</v>
      </c>
      <c r="G146" s="37"/>
      <c r="H146" s="81" t="s">
        <v>131</v>
      </c>
      <c r="I146" s="81"/>
      <c r="J146" s="81"/>
      <c r="K146" s="81"/>
      <c r="L146" s="37">
        <v>1000</v>
      </c>
      <c r="M146" s="37"/>
      <c r="N146" s="58" t="s">
        <v>284</v>
      </c>
      <c r="O146" s="111"/>
      <c r="P146" s="115"/>
      <c r="Q146" s="115" t="s">
        <v>115</v>
      </c>
      <c r="R146" s="115" t="s">
        <v>115</v>
      </c>
      <c r="S146" s="115"/>
      <c r="T146" s="115"/>
      <c r="U146" s="115"/>
      <c r="V146" s="115"/>
      <c r="W146" s="115"/>
      <c r="X146" s="697" t="s">
        <v>2081</v>
      </c>
      <c r="Y146" s="697" t="s">
        <v>2082</v>
      </c>
      <c r="Z146" s="132">
        <v>98</v>
      </c>
      <c r="AA146" s="132"/>
      <c r="AB146" s="132">
        <v>98</v>
      </c>
      <c r="AC146" s="134"/>
      <c r="AD146" s="134"/>
      <c r="AE146" s="134"/>
      <c r="AF146" s="134"/>
      <c r="AG146" s="134"/>
      <c r="AH146" s="134"/>
      <c r="AI146" s="134"/>
      <c r="AJ146" s="134"/>
      <c r="AK146" s="134"/>
      <c r="AL146" s="134"/>
      <c r="AM146" s="134"/>
      <c r="AN146" s="134"/>
      <c r="AO146" s="134"/>
      <c r="AP146" s="134"/>
      <c r="AQ146" s="90"/>
      <c r="AR146" s="66" t="s">
        <v>1170</v>
      </c>
      <c r="AS146" s="814" t="s">
        <v>1493</v>
      </c>
      <c r="AT146" s="35" t="s">
        <v>2080</v>
      </c>
      <c r="AU146" s="170" t="s">
        <v>269</v>
      </c>
      <c r="AV146" s="171"/>
      <c r="AW146" s="157"/>
      <c r="AX146" s="158" t="s">
        <v>2020</v>
      </c>
      <c r="AY146" s="158" t="s">
        <v>2061</v>
      </c>
      <c r="AZ146" s="158" t="str">
        <f t="shared" si="177"/>
        <v>园区基础设施路网工程</v>
      </c>
      <c r="BA146" s="158" t="s">
        <v>2021</v>
      </c>
      <c r="BB146" s="167"/>
      <c r="BC146" s="160"/>
      <c r="BD146" s="157"/>
      <c r="BE146" s="157"/>
      <c r="BF146" s="157"/>
      <c r="BG146" s="157"/>
      <c r="BH146" s="157"/>
      <c r="BI146" s="157"/>
      <c r="BJ146" s="157" t="str">
        <f t="shared" si="178"/>
        <v>灵山县人民政府12月</v>
      </c>
      <c r="BK146" s="157" t="s">
        <v>205</v>
      </c>
      <c r="BL146" s="157" t="s">
        <v>1980</v>
      </c>
      <c r="BM146" s="201" t="str">
        <f t="shared" si="179"/>
        <v>政府灵山县人民政府</v>
      </c>
      <c r="BN146" s="201" t="str">
        <f t="shared" si="180"/>
        <v>基础设施灵山县人民政府</v>
      </c>
      <c r="BO146" s="201">
        <f t="shared" si="181"/>
        <v>0</v>
      </c>
      <c r="BP146" s="157"/>
      <c r="BQ146" s="157">
        <f t="shared" si="182"/>
        <v>1</v>
      </c>
      <c r="BR146" s="157">
        <f t="shared" si="183"/>
        <v>0</v>
      </c>
      <c r="BS146" s="157">
        <f t="shared" si="184"/>
        <v>0</v>
      </c>
      <c r="BT146" s="157">
        <f t="shared" si="185"/>
        <v>0</v>
      </c>
      <c r="BU146" s="157">
        <f t="shared" si="186"/>
        <v>0</v>
      </c>
      <c r="BV146" s="157"/>
      <c r="BW146" s="206"/>
      <c r="BX146" s="10" t="s">
        <v>1895</v>
      </c>
    </row>
    <row r="147" s="10" customFormat="1" ht="60" customHeight="1" spans="1:76">
      <c r="A147" s="23">
        <f>SUBTOTAL(3,C$10:C147)</f>
        <v>116</v>
      </c>
      <c r="B147" s="55" t="s">
        <v>1498</v>
      </c>
      <c r="C147" s="35" t="s">
        <v>79</v>
      </c>
      <c r="D147" s="55" t="s">
        <v>1499</v>
      </c>
      <c r="E147" s="35">
        <v>2019</v>
      </c>
      <c r="F147" s="789">
        <v>1823</v>
      </c>
      <c r="G147" s="789"/>
      <c r="H147" s="67" t="s">
        <v>353</v>
      </c>
      <c r="I147" s="67">
        <v>360</v>
      </c>
      <c r="J147" s="67">
        <v>800</v>
      </c>
      <c r="K147" s="67">
        <v>1400</v>
      </c>
      <c r="L147" s="257">
        <v>1823</v>
      </c>
      <c r="M147" s="257"/>
      <c r="N147" s="112" t="s">
        <v>1319</v>
      </c>
      <c r="O147" s="111"/>
      <c r="P147" s="115"/>
      <c r="Q147" s="115" t="s">
        <v>115</v>
      </c>
      <c r="R147" s="115" t="s">
        <v>115</v>
      </c>
      <c r="S147" s="115"/>
      <c r="T147" s="115"/>
      <c r="U147" s="115"/>
      <c r="V147" s="115"/>
      <c r="W147" s="115"/>
      <c r="X147" s="697"/>
      <c r="Y147" s="697"/>
      <c r="Z147" s="132">
        <v>98</v>
      </c>
      <c r="AA147" s="132"/>
      <c r="AB147" s="132">
        <v>98</v>
      </c>
      <c r="AC147" s="134"/>
      <c r="AD147" s="134"/>
      <c r="AE147" s="134"/>
      <c r="AF147" s="134"/>
      <c r="AG147" s="134"/>
      <c r="AH147" s="134"/>
      <c r="AI147" s="134"/>
      <c r="AJ147" s="134"/>
      <c r="AK147" s="134"/>
      <c r="AL147" s="134"/>
      <c r="AM147" s="134"/>
      <c r="AN147" s="134"/>
      <c r="AO147" s="134"/>
      <c r="AP147" s="134"/>
      <c r="AQ147" s="90"/>
      <c r="AR147" s="112" t="s">
        <v>117</v>
      </c>
      <c r="AS147" s="814" t="s">
        <v>1311</v>
      </c>
      <c r="AT147" s="35" t="s">
        <v>2037</v>
      </c>
      <c r="AU147" s="170" t="s">
        <v>269</v>
      </c>
      <c r="AV147" s="171"/>
      <c r="AW147" s="157"/>
      <c r="AX147" s="158" t="s">
        <v>2020</v>
      </c>
      <c r="AY147" s="158" t="s">
        <v>2061</v>
      </c>
      <c r="AZ147" s="158" t="str">
        <f t="shared" si="177"/>
        <v>园区基础设施路网工程</v>
      </c>
      <c r="BA147" s="158" t="s">
        <v>2021</v>
      </c>
      <c r="BB147" s="167"/>
      <c r="BC147" s="160"/>
      <c r="BD147" s="157"/>
      <c r="BE147" s="157"/>
      <c r="BF147" s="157"/>
      <c r="BG147" s="157"/>
      <c r="BH147" s="157"/>
      <c r="BI147" s="157"/>
      <c r="BJ147" s="157" t="str">
        <f t="shared" si="178"/>
        <v>灵山县人民政府2月</v>
      </c>
      <c r="BK147" s="157" t="s">
        <v>205</v>
      </c>
      <c r="BL147" s="157" t="s">
        <v>1980</v>
      </c>
      <c r="BM147" s="201" t="str">
        <f t="shared" si="179"/>
        <v>政府灵山县人民政府</v>
      </c>
      <c r="BN147" s="201" t="str">
        <f t="shared" si="180"/>
        <v>基础设施灵山县人民政府</v>
      </c>
      <c r="BO147" s="201">
        <f t="shared" si="181"/>
        <v>0</v>
      </c>
      <c r="BP147" s="157"/>
      <c r="BQ147" s="157">
        <f t="shared" si="182"/>
        <v>1</v>
      </c>
      <c r="BR147" s="157">
        <f t="shared" si="183"/>
        <v>0</v>
      </c>
      <c r="BS147" s="157">
        <f t="shared" si="184"/>
        <v>0</v>
      </c>
      <c r="BT147" s="157">
        <f t="shared" si="185"/>
        <v>0</v>
      </c>
      <c r="BU147" s="157">
        <f t="shared" si="186"/>
        <v>0</v>
      </c>
      <c r="BV147" s="157"/>
      <c r="BW147" s="206"/>
      <c r="BX147" s="10" t="s">
        <v>1895</v>
      </c>
    </row>
    <row r="148" s="9" customFormat="1" ht="21" customHeight="1" spans="1:74">
      <c r="A148" s="551"/>
      <c r="B148" s="557" t="str">
        <f>"供水工程（"&amp;SUBTOTAL(3,C149)&amp;"个）"</f>
        <v>供水工程（1个）</v>
      </c>
      <c r="C148" s="551"/>
      <c r="D148" s="554"/>
      <c r="E148" s="551"/>
      <c r="F148" s="134">
        <f t="shared" ref="F148:M148" si="187">SUBTOTAL(9,F149)</f>
        <v>10600</v>
      </c>
      <c r="G148" s="134"/>
      <c r="H148" s="134"/>
      <c r="I148" s="134">
        <f t="shared" si="187"/>
        <v>0</v>
      </c>
      <c r="J148" s="134">
        <f t="shared" si="187"/>
        <v>0</v>
      </c>
      <c r="K148" s="134">
        <f t="shared" si="187"/>
        <v>2500</v>
      </c>
      <c r="L148" s="134">
        <f t="shared" si="187"/>
        <v>4000</v>
      </c>
      <c r="M148" s="134">
        <f t="shared" si="187"/>
        <v>0</v>
      </c>
      <c r="N148" s="591"/>
      <c r="O148" s="134"/>
      <c r="P148" s="118"/>
      <c r="Q148" s="134"/>
      <c r="R148" s="134"/>
      <c r="S148" s="134"/>
      <c r="T148" s="134"/>
      <c r="U148" s="134"/>
      <c r="V148" s="134"/>
      <c r="W148" s="134"/>
      <c r="X148" s="678"/>
      <c r="Y148" s="678"/>
      <c r="Z148" s="132"/>
      <c r="AA148" s="132"/>
      <c r="AB148" s="132"/>
      <c r="AC148" s="132"/>
      <c r="AD148" s="132"/>
      <c r="AE148" s="132"/>
      <c r="AF148" s="132"/>
      <c r="AG148" s="132"/>
      <c r="AH148" s="132"/>
      <c r="AI148" s="132"/>
      <c r="AJ148" s="132"/>
      <c r="AK148" s="132"/>
      <c r="AL148" s="132"/>
      <c r="AM148" s="132"/>
      <c r="AN148" s="132"/>
      <c r="AO148" s="132"/>
      <c r="AP148" s="132"/>
      <c r="AQ148" s="678"/>
      <c r="AR148" s="591"/>
      <c r="AS148" s="591"/>
      <c r="AT148" s="134"/>
      <c r="AU148" s="134"/>
      <c r="AV148" s="93"/>
      <c r="AW148" s="165"/>
      <c r="AX148" s="158"/>
      <c r="AY148" s="158"/>
      <c r="AZ148" s="158"/>
      <c r="BA148" s="158"/>
      <c r="BB148" s="169"/>
      <c r="BC148" s="165"/>
      <c r="BD148" s="165"/>
      <c r="BE148" s="165"/>
      <c r="BF148" s="169"/>
      <c r="BG148" s="169"/>
      <c r="BH148" s="169"/>
      <c r="BI148" s="183"/>
      <c r="BJ148" s="165"/>
      <c r="BK148" s="165"/>
      <c r="BL148" s="157"/>
      <c r="BN148" s="201"/>
      <c r="BO148" s="7"/>
      <c r="BP148" s="157"/>
      <c r="BQ148" s="157"/>
      <c r="BR148" s="157"/>
      <c r="BS148" s="157"/>
      <c r="BT148" s="157"/>
      <c r="BU148" s="157"/>
      <c r="BV148" s="183"/>
    </row>
    <row r="149" s="6" customFormat="1" ht="85.5" customHeight="1" spans="1:75">
      <c r="A149" s="23">
        <f>SUBTOTAL(3,C$10:C149)</f>
        <v>117</v>
      </c>
      <c r="B149" s="55" t="s">
        <v>1487</v>
      </c>
      <c r="C149" s="35" t="s">
        <v>79</v>
      </c>
      <c r="D149" s="55" t="s">
        <v>1488</v>
      </c>
      <c r="E149" s="35" t="s">
        <v>112</v>
      </c>
      <c r="F149" s="38">
        <v>10600</v>
      </c>
      <c r="G149" s="38"/>
      <c r="H149" s="83" t="s">
        <v>209</v>
      </c>
      <c r="I149" s="83"/>
      <c r="J149" s="83"/>
      <c r="K149" s="578">
        <v>2500</v>
      </c>
      <c r="L149" s="38">
        <v>4000</v>
      </c>
      <c r="M149" s="38"/>
      <c r="N149" s="34" t="s">
        <v>1489</v>
      </c>
      <c r="O149" s="111"/>
      <c r="P149" s="67"/>
      <c r="Q149" s="730" t="s">
        <v>115</v>
      </c>
      <c r="R149" s="730"/>
      <c r="S149" s="730"/>
      <c r="T149" s="730"/>
      <c r="U149" s="730"/>
      <c r="V149" s="730"/>
      <c r="W149" s="730"/>
      <c r="X149" s="90" t="s">
        <v>2083</v>
      </c>
      <c r="Y149" s="810" t="s">
        <v>2084</v>
      </c>
      <c r="Z149" s="811">
        <v>24.56</v>
      </c>
      <c r="AA149" s="811">
        <v>0</v>
      </c>
      <c r="AB149" s="811">
        <v>24.56</v>
      </c>
      <c r="AC149" s="811">
        <v>10.3</v>
      </c>
      <c r="AD149" s="811">
        <v>0</v>
      </c>
      <c r="AE149" s="811">
        <v>10.3</v>
      </c>
      <c r="AF149" s="811"/>
      <c r="AG149" s="811"/>
      <c r="AH149" s="811"/>
      <c r="AI149" s="811">
        <v>24.56</v>
      </c>
      <c r="AJ149" s="811">
        <v>0</v>
      </c>
      <c r="AK149" s="811">
        <v>24.56</v>
      </c>
      <c r="AL149" s="811">
        <v>4000</v>
      </c>
      <c r="AM149" s="811"/>
      <c r="AN149" s="811"/>
      <c r="AO149" s="811">
        <v>0</v>
      </c>
      <c r="AP149" s="811">
        <v>900</v>
      </c>
      <c r="AQ149" s="90"/>
      <c r="AR149" s="112" t="s">
        <v>1490</v>
      </c>
      <c r="AS149" s="34" t="s">
        <v>2085</v>
      </c>
      <c r="AT149" s="35" t="s">
        <v>2086</v>
      </c>
      <c r="AU149" s="35" t="s">
        <v>504</v>
      </c>
      <c r="AV149" s="171"/>
      <c r="AW149" s="157"/>
      <c r="AX149" s="158" t="s">
        <v>2039</v>
      </c>
      <c r="AY149" s="158" t="s">
        <v>2061</v>
      </c>
      <c r="AZ149" s="158" t="str">
        <f>AY149&amp;AX149</f>
        <v>园区基础设施供水工程</v>
      </c>
      <c r="BA149" s="158" t="s">
        <v>2018</v>
      </c>
      <c r="BB149" s="167"/>
      <c r="BC149" s="160"/>
      <c r="BD149" s="157"/>
      <c r="BE149" s="157"/>
      <c r="BF149" s="157"/>
      <c r="BG149" s="157"/>
      <c r="BH149" s="157"/>
      <c r="BI149" s="157"/>
      <c r="BJ149" s="157" t="str">
        <f>AU149&amp;H149</f>
        <v>北部湾华侨投资区管委8月</v>
      </c>
      <c r="BK149" s="157" t="s">
        <v>205</v>
      </c>
      <c r="BL149" s="157" t="s">
        <v>1980</v>
      </c>
      <c r="BM149" s="201" t="str">
        <f>BK149&amp;AU149</f>
        <v>政府北部湾华侨投资区管委</v>
      </c>
      <c r="BN149" s="201" t="str">
        <f>BL149&amp;AU149</f>
        <v>基础设施北部湾华侨投资区管委</v>
      </c>
      <c r="BO149" s="201">
        <f>IF(O149&gt;0,1,0)</f>
        <v>0</v>
      </c>
      <c r="BP149" s="157"/>
      <c r="BQ149" s="157">
        <f>IF(Z149&gt;0,1,0)</f>
        <v>1</v>
      </c>
      <c r="BR149" s="157">
        <f>IF(AF149&gt;0,1,0)</f>
        <v>0</v>
      </c>
      <c r="BS149" s="157">
        <f>IF(AC149&gt;0,1,0)</f>
        <v>1</v>
      </c>
      <c r="BT149" s="157">
        <f>IF(AI149&gt;0,1,0)</f>
        <v>1</v>
      </c>
      <c r="BU149" s="157">
        <f>IF(AL149&gt;0,1,0)</f>
        <v>1</v>
      </c>
      <c r="BV149" s="157"/>
      <c r="BW149" s="206"/>
    </row>
    <row r="150" s="9" customFormat="1" ht="21.75" customHeight="1" spans="1:74">
      <c r="A150" s="551"/>
      <c r="B150" s="557" t="str">
        <f>"供电工程（"&amp;SUBTOTAL(3,C151)&amp;"个）"</f>
        <v>供电工程（1个）</v>
      </c>
      <c r="C150" s="551"/>
      <c r="D150" s="554"/>
      <c r="E150" s="551"/>
      <c r="F150" s="134">
        <f t="shared" ref="F150:M150" si="188">SUBTOTAL(9,F151)</f>
        <v>5600</v>
      </c>
      <c r="G150" s="134"/>
      <c r="H150" s="134"/>
      <c r="I150" s="134">
        <f t="shared" si="188"/>
        <v>0</v>
      </c>
      <c r="J150" s="134">
        <f t="shared" si="188"/>
        <v>0</v>
      </c>
      <c r="K150" s="134">
        <f t="shared" si="188"/>
        <v>300</v>
      </c>
      <c r="L150" s="134">
        <f t="shared" si="188"/>
        <v>1000</v>
      </c>
      <c r="M150" s="134">
        <f t="shared" si="188"/>
        <v>0</v>
      </c>
      <c r="N150" s="591"/>
      <c r="O150" s="134"/>
      <c r="P150" s="118"/>
      <c r="Q150" s="115"/>
      <c r="R150" s="115"/>
      <c r="S150" s="115"/>
      <c r="T150" s="115"/>
      <c r="U150" s="115"/>
      <c r="V150" s="115"/>
      <c r="W150" s="115"/>
      <c r="X150" s="90"/>
      <c r="Y150" s="90"/>
      <c r="Z150" s="132"/>
      <c r="AA150" s="132"/>
      <c r="AB150" s="132"/>
      <c r="AC150" s="132"/>
      <c r="AD150" s="132"/>
      <c r="AE150" s="132"/>
      <c r="AF150" s="132"/>
      <c r="AG150" s="132"/>
      <c r="AH150" s="132"/>
      <c r="AI150" s="132"/>
      <c r="AJ150" s="132"/>
      <c r="AK150" s="132"/>
      <c r="AL150" s="132"/>
      <c r="AM150" s="132"/>
      <c r="AN150" s="132"/>
      <c r="AO150" s="132"/>
      <c r="AP150" s="132"/>
      <c r="AQ150" s="90"/>
      <c r="AR150" s="112"/>
      <c r="AS150" s="591"/>
      <c r="AT150" s="134"/>
      <c r="AU150" s="134"/>
      <c r="AV150" s="93"/>
      <c r="AW150" s="165"/>
      <c r="AX150" s="158"/>
      <c r="AY150" s="158"/>
      <c r="AZ150" s="158"/>
      <c r="BA150" s="158"/>
      <c r="BB150" s="169"/>
      <c r="BC150" s="165"/>
      <c r="BD150" s="165"/>
      <c r="BE150" s="165"/>
      <c r="BF150" s="169"/>
      <c r="BG150" s="169"/>
      <c r="BH150" s="169"/>
      <c r="BI150" s="183"/>
      <c r="BJ150" s="165"/>
      <c r="BK150" s="157"/>
      <c r="BL150" s="157"/>
      <c r="BN150" s="201"/>
      <c r="BO150" s="7"/>
      <c r="BP150" s="157"/>
      <c r="BQ150" s="157"/>
      <c r="BR150" s="157"/>
      <c r="BS150" s="157"/>
      <c r="BT150" s="157"/>
      <c r="BU150" s="157"/>
      <c r="BV150" s="183"/>
    </row>
    <row r="151" ht="61.5" customHeight="1" spans="1:79">
      <c r="A151" s="23">
        <f>SUBTOTAL(3,C$10:C151)</f>
        <v>118</v>
      </c>
      <c r="B151" s="60" t="s">
        <v>1583</v>
      </c>
      <c r="C151" s="59" t="s">
        <v>79</v>
      </c>
      <c r="D151" s="60" t="s">
        <v>1584</v>
      </c>
      <c r="E151" s="59" t="s">
        <v>112</v>
      </c>
      <c r="F151" s="59">
        <v>5600</v>
      </c>
      <c r="G151" s="59"/>
      <c r="H151" s="81" t="s">
        <v>122</v>
      </c>
      <c r="I151" s="81"/>
      <c r="J151" s="81"/>
      <c r="K151" s="578">
        <v>300</v>
      </c>
      <c r="L151" s="59">
        <v>1000</v>
      </c>
      <c r="M151" s="59"/>
      <c r="N151" s="58" t="s">
        <v>284</v>
      </c>
      <c r="O151" s="61"/>
      <c r="P151" s="67"/>
      <c r="Q151" s="769"/>
      <c r="R151" s="769"/>
      <c r="S151" s="769"/>
      <c r="T151" s="769"/>
      <c r="U151" s="769"/>
      <c r="V151" s="769"/>
      <c r="W151" s="769"/>
      <c r="X151" s="60" t="s">
        <v>2087</v>
      </c>
      <c r="Y151" s="60" t="s">
        <v>2088</v>
      </c>
      <c r="Z151" s="134"/>
      <c r="AA151" s="134"/>
      <c r="AB151" s="134"/>
      <c r="AC151" s="134"/>
      <c r="AD151" s="134"/>
      <c r="AE151" s="134"/>
      <c r="AF151" s="134"/>
      <c r="AG151" s="134"/>
      <c r="AH151" s="134"/>
      <c r="AI151" s="134"/>
      <c r="AJ151" s="134"/>
      <c r="AK151" s="134"/>
      <c r="AL151" s="134"/>
      <c r="AM151" s="134"/>
      <c r="AN151" s="134"/>
      <c r="AO151" s="134"/>
      <c r="AP151" s="134"/>
      <c r="AQ151" s="90"/>
      <c r="AR151" s="58" t="s">
        <v>1585</v>
      </c>
      <c r="AS151" s="58" t="s">
        <v>1586</v>
      </c>
      <c r="AT151" s="59" t="s">
        <v>2089</v>
      </c>
      <c r="AU151" s="59" t="s">
        <v>119</v>
      </c>
      <c r="AV151" s="93"/>
      <c r="AW151" s="157"/>
      <c r="AX151" s="158" t="s">
        <v>2042</v>
      </c>
      <c r="AY151" s="158" t="s">
        <v>2061</v>
      </c>
      <c r="AZ151" s="158" t="str">
        <f>AY151&amp;AX151</f>
        <v>园区基础设施供电工程</v>
      </c>
      <c r="BA151" s="158" t="s">
        <v>2018</v>
      </c>
      <c r="BB151" s="159"/>
      <c r="BC151" s="160"/>
      <c r="BD151" s="157"/>
      <c r="BE151" s="157"/>
      <c r="BF151" s="157"/>
      <c r="BG151" s="157"/>
      <c r="BH151" s="157"/>
      <c r="BI151" s="181"/>
      <c r="BJ151" s="157" t="str">
        <f>AU151&amp;H151</f>
        <v>钦州港区管委6月</v>
      </c>
      <c r="BK151" s="157" t="s">
        <v>92</v>
      </c>
      <c r="BL151" s="157" t="s">
        <v>1980</v>
      </c>
      <c r="BM151" s="201" t="str">
        <f>BK151&amp;AU151</f>
        <v>企业钦州港区管委</v>
      </c>
      <c r="BN151" s="201" t="str">
        <f>BL151&amp;AU151</f>
        <v>基础设施钦州港区管委</v>
      </c>
      <c r="BO151" s="201">
        <f>IF(O151&gt;0,1,0)</f>
        <v>0</v>
      </c>
      <c r="BP151" s="157"/>
      <c r="BQ151" s="157">
        <f>IF(Z151&gt;0,1,0)</f>
        <v>0</v>
      </c>
      <c r="BR151" s="157">
        <f>IF(AF151&gt;0,1,0)</f>
        <v>0</v>
      </c>
      <c r="BS151" s="157">
        <f>IF(AC151&gt;0,1,0)</f>
        <v>0</v>
      </c>
      <c r="BT151" s="157">
        <f>IF(AI151&gt;0,1,0)</f>
        <v>0</v>
      </c>
      <c r="BU151" s="157">
        <f>IF(AL151&gt;0,1,0)</f>
        <v>0</v>
      </c>
      <c r="BV151" s="181"/>
      <c r="BW151" s="206"/>
      <c r="BX151" s="4" t="s">
        <v>1904</v>
      </c>
      <c r="CA151" s="206"/>
    </row>
    <row r="152" s="9" customFormat="1" ht="21.75" customHeight="1" spans="1:74">
      <c r="A152" s="551"/>
      <c r="B152" s="557" t="str">
        <f>"其他（"&amp;SUBTOTAL(3,C153:C160)&amp;"个）"</f>
        <v>其他（8个）</v>
      </c>
      <c r="C152" s="551"/>
      <c r="D152" s="554"/>
      <c r="E152" s="551"/>
      <c r="F152" s="134">
        <f t="shared" ref="F152:M152" si="189">SUBTOTAL(9,F153:F160)</f>
        <v>127553</v>
      </c>
      <c r="G152" s="134"/>
      <c r="H152" s="134"/>
      <c r="I152" s="134">
        <f t="shared" si="189"/>
        <v>300</v>
      </c>
      <c r="J152" s="134">
        <f t="shared" si="189"/>
        <v>1877</v>
      </c>
      <c r="K152" s="134">
        <f t="shared" si="189"/>
        <v>5627</v>
      </c>
      <c r="L152" s="134">
        <f t="shared" si="189"/>
        <v>29327</v>
      </c>
      <c r="M152" s="134">
        <f t="shared" si="189"/>
        <v>0</v>
      </c>
      <c r="N152" s="591"/>
      <c r="O152" s="134"/>
      <c r="P152" s="118"/>
      <c r="Q152" s="134"/>
      <c r="R152" s="134"/>
      <c r="S152" s="134"/>
      <c r="T152" s="134"/>
      <c r="U152" s="134"/>
      <c r="V152" s="134"/>
      <c r="W152" s="134"/>
      <c r="X152" s="90"/>
      <c r="Y152" s="90"/>
      <c r="Z152" s="811"/>
      <c r="AA152" s="811"/>
      <c r="AB152" s="811"/>
      <c r="AC152" s="811"/>
      <c r="AD152" s="811"/>
      <c r="AE152" s="811"/>
      <c r="AF152" s="811"/>
      <c r="AG152" s="811"/>
      <c r="AH152" s="811"/>
      <c r="AI152" s="811"/>
      <c r="AJ152" s="811"/>
      <c r="AK152" s="811"/>
      <c r="AL152" s="811"/>
      <c r="AM152" s="811"/>
      <c r="AN152" s="811"/>
      <c r="AO152" s="811"/>
      <c r="AP152" s="811"/>
      <c r="AQ152" s="90"/>
      <c r="AR152" s="112"/>
      <c r="AS152" s="591"/>
      <c r="AT152" s="134"/>
      <c r="AU152" s="134"/>
      <c r="AV152" s="93"/>
      <c r="AW152" s="165"/>
      <c r="AX152" s="158"/>
      <c r="AY152" s="158"/>
      <c r="AZ152" s="158"/>
      <c r="BA152" s="158"/>
      <c r="BB152" s="169"/>
      <c r="BC152" s="165"/>
      <c r="BD152" s="165"/>
      <c r="BE152" s="165"/>
      <c r="BF152" s="169"/>
      <c r="BG152" s="169"/>
      <c r="BH152" s="169"/>
      <c r="BI152" s="183"/>
      <c r="BJ152" s="165"/>
      <c r="BK152" s="157"/>
      <c r="BL152" s="157"/>
      <c r="BN152" s="201"/>
      <c r="BO152" s="7"/>
      <c r="BP152" s="157"/>
      <c r="BQ152" s="157"/>
      <c r="BR152" s="157"/>
      <c r="BS152" s="157"/>
      <c r="BT152" s="157"/>
      <c r="BU152" s="157"/>
      <c r="BV152" s="183"/>
    </row>
    <row r="153" ht="62.25" customHeight="1" spans="1:81">
      <c r="A153" s="23">
        <f>SUBTOTAL(3,C$10:C153)</f>
        <v>119</v>
      </c>
      <c r="B153" s="55" t="s">
        <v>1388</v>
      </c>
      <c r="C153" s="35" t="s">
        <v>79</v>
      </c>
      <c r="D153" s="55" t="s">
        <v>1389</v>
      </c>
      <c r="E153" s="35" t="s">
        <v>81</v>
      </c>
      <c r="F153" s="35">
        <v>46977</v>
      </c>
      <c r="G153" s="35"/>
      <c r="H153" s="50" t="s">
        <v>113</v>
      </c>
      <c r="I153" s="50"/>
      <c r="J153" s="50"/>
      <c r="K153" s="578">
        <v>500</v>
      </c>
      <c r="L153" s="35">
        <v>5000</v>
      </c>
      <c r="M153" s="35"/>
      <c r="N153" s="34" t="s">
        <v>1390</v>
      </c>
      <c r="O153" s="56"/>
      <c r="P153" s="127"/>
      <c r="Q153" s="115" t="s">
        <v>115</v>
      </c>
      <c r="R153" s="134"/>
      <c r="S153" s="134"/>
      <c r="T153" s="115"/>
      <c r="U153" s="115"/>
      <c r="V153" s="134"/>
      <c r="W153" s="134"/>
      <c r="X153" s="90"/>
      <c r="Y153" s="90" t="s">
        <v>117</v>
      </c>
      <c r="Z153" s="251"/>
      <c r="AA153" s="251"/>
      <c r="AB153" s="251"/>
      <c r="AC153" s="251"/>
      <c r="AD153" s="251"/>
      <c r="AE153" s="251"/>
      <c r="AF153" s="251"/>
      <c r="AG153" s="251"/>
      <c r="AH153" s="251"/>
      <c r="AI153" s="251"/>
      <c r="AJ153" s="251"/>
      <c r="AK153" s="251"/>
      <c r="AL153" s="251"/>
      <c r="AM153" s="251"/>
      <c r="AN153" s="251"/>
      <c r="AO153" s="251"/>
      <c r="AP153" s="251"/>
      <c r="AQ153" s="90"/>
      <c r="AR153" s="66" t="s">
        <v>133</v>
      </c>
      <c r="AS153" s="66" t="s">
        <v>1003</v>
      </c>
      <c r="AT153" s="23" t="s">
        <v>2090</v>
      </c>
      <c r="AU153" s="35" t="s">
        <v>119</v>
      </c>
      <c r="AV153" s="93"/>
      <c r="AW153" s="157"/>
      <c r="AX153" s="158" t="s">
        <v>2051</v>
      </c>
      <c r="AY153" s="158" t="s">
        <v>2061</v>
      </c>
      <c r="AZ153" s="158" t="str">
        <f t="shared" ref="AZ153:AZ160" si="190">AY153&amp;AX153</f>
        <v>园区基础设施其他</v>
      </c>
      <c r="BA153" s="158" t="s">
        <v>2018</v>
      </c>
      <c r="BB153" s="159"/>
      <c r="BC153" s="160"/>
      <c r="BD153" s="157"/>
      <c r="BE153" s="157"/>
      <c r="BF153" s="157"/>
      <c r="BG153" s="157"/>
      <c r="BH153" s="157"/>
      <c r="BI153" s="157"/>
      <c r="BJ153" s="157" t="str">
        <f t="shared" ref="BJ153:BJ160" si="191">AU153&amp;H153</f>
        <v>钦州港区管委9月</v>
      </c>
      <c r="BK153" s="157" t="s">
        <v>205</v>
      </c>
      <c r="BL153" s="157" t="s">
        <v>1980</v>
      </c>
      <c r="BM153" s="201" t="str">
        <f t="shared" ref="BM153:BM160" si="192">BK153&amp;AU153</f>
        <v>政府钦州港区管委</v>
      </c>
      <c r="BN153" s="201" t="str">
        <f t="shared" ref="BN153:BN160" si="193">BL153&amp;AU153</f>
        <v>基础设施钦州港区管委</v>
      </c>
      <c r="BO153" s="201">
        <f t="shared" ref="BO153:BO158" si="194">IF(O153&gt;0,1,0)</f>
        <v>0</v>
      </c>
      <c r="BP153" s="157"/>
      <c r="BQ153" s="157">
        <f t="shared" ref="BQ153:BQ160" si="195">IF(Z153&gt;0,1,0)</f>
        <v>0</v>
      </c>
      <c r="BR153" s="157">
        <f t="shared" ref="BR153:BR160" si="196">IF(AF153&gt;0,1,0)</f>
        <v>0</v>
      </c>
      <c r="BS153" s="157">
        <f t="shared" ref="BS153:BS160" si="197">IF(AC153&gt;0,1,0)</f>
        <v>0</v>
      </c>
      <c r="BT153" s="157">
        <f t="shared" ref="BT153:BT160" si="198">IF(AI153&gt;0,1,0)</f>
        <v>0</v>
      </c>
      <c r="BU153" s="157">
        <f t="shared" ref="BU153:BU160" si="199">IF(AL153&gt;0,1,0)</f>
        <v>0</v>
      </c>
      <c r="BV153" s="157"/>
      <c r="BW153" s="206"/>
      <c r="BX153" s="4" t="s">
        <v>1917</v>
      </c>
      <c r="BY153" s="4"/>
      <c r="BZ153" s="4"/>
      <c r="CA153" s="4"/>
      <c r="CB153" s="4"/>
      <c r="CC153" s="4"/>
    </row>
    <row r="154" ht="117" customHeight="1" spans="1:81">
      <c r="A154" s="23">
        <f>SUBTOTAL(3,C$10:C154)</f>
        <v>120</v>
      </c>
      <c r="B154" s="55" t="s">
        <v>1391</v>
      </c>
      <c r="C154" s="35" t="s">
        <v>79</v>
      </c>
      <c r="D154" s="669" t="s">
        <v>1392</v>
      </c>
      <c r="E154" s="670" t="s">
        <v>81</v>
      </c>
      <c r="F154" s="67">
        <v>31715</v>
      </c>
      <c r="G154" s="67"/>
      <c r="H154" s="83" t="s">
        <v>122</v>
      </c>
      <c r="I154" s="83"/>
      <c r="J154" s="83"/>
      <c r="K154" s="578">
        <v>1000</v>
      </c>
      <c r="L154" s="67">
        <v>2000</v>
      </c>
      <c r="M154" s="67"/>
      <c r="N154" s="123" t="s">
        <v>1393</v>
      </c>
      <c r="O154" s="111"/>
      <c r="P154" s="67"/>
      <c r="Q154" s="134" t="s">
        <v>115</v>
      </c>
      <c r="R154" s="134" t="s">
        <v>115</v>
      </c>
      <c r="S154" s="134" t="s">
        <v>115</v>
      </c>
      <c r="T154" s="134" t="s">
        <v>115</v>
      </c>
      <c r="U154" s="134" t="s">
        <v>115</v>
      </c>
      <c r="V154" s="769"/>
      <c r="W154" s="769"/>
      <c r="X154" s="90" t="s">
        <v>2091</v>
      </c>
      <c r="Y154" s="90" t="s">
        <v>1982</v>
      </c>
      <c r="Z154" s="132"/>
      <c r="AA154" s="132"/>
      <c r="AB154" s="132"/>
      <c r="AC154" s="132"/>
      <c r="AD154" s="132"/>
      <c r="AE154" s="132"/>
      <c r="AF154" s="132"/>
      <c r="AG154" s="132"/>
      <c r="AH154" s="132"/>
      <c r="AI154" s="132"/>
      <c r="AJ154" s="132"/>
      <c r="AK154" s="132"/>
      <c r="AL154" s="132">
        <v>2000</v>
      </c>
      <c r="AM154" s="132"/>
      <c r="AN154" s="132"/>
      <c r="AO154" s="132"/>
      <c r="AP154" s="132">
        <v>2000</v>
      </c>
      <c r="AQ154" s="90"/>
      <c r="AR154" s="112" t="s">
        <v>1394</v>
      </c>
      <c r="AS154" s="123" t="s">
        <v>1003</v>
      </c>
      <c r="AT154" s="67" t="s">
        <v>2092</v>
      </c>
      <c r="AU154" s="67" t="s">
        <v>119</v>
      </c>
      <c r="AV154" s="93"/>
      <c r="AW154" s="157"/>
      <c r="AX154" s="158" t="s">
        <v>2051</v>
      </c>
      <c r="AY154" s="158" t="s">
        <v>2061</v>
      </c>
      <c r="AZ154" s="158" t="str">
        <f t="shared" si="190"/>
        <v>园区基础设施其他</v>
      </c>
      <c r="BA154" s="158" t="s">
        <v>2018</v>
      </c>
      <c r="BB154" s="159"/>
      <c r="BC154" s="160"/>
      <c r="BD154" s="157"/>
      <c r="BE154" s="157"/>
      <c r="BF154" s="157"/>
      <c r="BG154" s="157"/>
      <c r="BH154" s="157"/>
      <c r="BI154" s="181"/>
      <c r="BJ154" s="157" t="str">
        <f t="shared" si="191"/>
        <v>钦州港区管委6月</v>
      </c>
      <c r="BK154" s="157" t="s">
        <v>205</v>
      </c>
      <c r="BL154" s="157" t="s">
        <v>1980</v>
      </c>
      <c r="BM154" s="201" t="str">
        <f t="shared" si="192"/>
        <v>政府钦州港区管委</v>
      </c>
      <c r="BN154" s="201" t="str">
        <f t="shared" si="193"/>
        <v>基础设施钦州港区管委</v>
      </c>
      <c r="BO154" s="201">
        <f t="shared" si="194"/>
        <v>0</v>
      </c>
      <c r="BP154" s="157"/>
      <c r="BQ154" s="157">
        <f t="shared" si="195"/>
        <v>0</v>
      </c>
      <c r="BR154" s="157">
        <f t="shared" si="196"/>
        <v>0</v>
      </c>
      <c r="BS154" s="157">
        <f t="shared" si="197"/>
        <v>0</v>
      </c>
      <c r="BT154" s="157">
        <f t="shared" si="198"/>
        <v>0</v>
      </c>
      <c r="BU154" s="157">
        <f t="shared" si="199"/>
        <v>1</v>
      </c>
      <c r="BV154" s="181"/>
      <c r="BW154" s="206"/>
      <c r="BX154" s="4" t="s">
        <v>2004</v>
      </c>
      <c r="BY154" s="4"/>
      <c r="BZ154" s="4"/>
      <c r="CA154" s="4"/>
      <c r="CB154" s="4"/>
      <c r="CC154" s="4"/>
    </row>
    <row r="155" ht="62.25" customHeight="1" spans="1:81">
      <c r="A155" s="23">
        <f>SUBTOTAL(3,C$10:C155)</f>
        <v>121</v>
      </c>
      <c r="B155" s="55" t="s">
        <v>1647</v>
      </c>
      <c r="C155" s="23" t="s">
        <v>79</v>
      </c>
      <c r="D155" s="55" t="s">
        <v>1648</v>
      </c>
      <c r="E155" s="35" t="s">
        <v>112</v>
      </c>
      <c r="F155" s="38">
        <v>18580</v>
      </c>
      <c r="G155" s="38"/>
      <c r="H155" s="81" t="s">
        <v>131</v>
      </c>
      <c r="I155" s="81"/>
      <c r="J155" s="81"/>
      <c r="K155" s="81"/>
      <c r="L155" s="38">
        <v>15000</v>
      </c>
      <c r="M155" s="38"/>
      <c r="N155" s="58" t="s">
        <v>284</v>
      </c>
      <c r="O155" s="56"/>
      <c r="P155" s="127"/>
      <c r="Q155" s="115" t="s">
        <v>115</v>
      </c>
      <c r="R155" s="134"/>
      <c r="S155" s="134"/>
      <c r="T155" s="115"/>
      <c r="U155" s="115"/>
      <c r="V155" s="134"/>
      <c r="W155" s="134"/>
      <c r="X155" s="90" t="s">
        <v>2093</v>
      </c>
      <c r="Y155" s="90" t="s">
        <v>117</v>
      </c>
      <c r="Z155" s="251"/>
      <c r="AA155" s="251"/>
      <c r="AB155" s="251"/>
      <c r="AC155" s="251"/>
      <c r="AD155" s="251"/>
      <c r="AE155" s="251"/>
      <c r="AF155" s="251"/>
      <c r="AG155" s="251"/>
      <c r="AH155" s="251"/>
      <c r="AI155" s="251"/>
      <c r="AJ155" s="251"/>
      <c r="AK155" s="251"/>
      <c r="AL155" s="251"/>
      <c r="AM155" s="251"/>
      <c r="AN155" s="251"/>
      <c r="AO155" s="251"/>
      <c r="AP155" s="251"/>
      <c r="AQ155" s="90"/>
      <c r="AR155" s="112" t="s">
        <v>117</v>
      </c>
      <c r="AS155" s="34" t="s">
        <v>1649</v>
      </c>
      <c r="AT155" s="35" t="s">
        <v>2094</v>
      </c>
      <c r="AU155" s="35" t="s">
        <v>119</v>
      </c>
      <c r="AV155" s="93"/>
      <c r="AW155" s="157"/>
      <c r="AX155" s="158" t="s">
        <v>2051</v>
      </c>
      <c r="AY155" s="158" t="s">
        <v>2061</v>
      </c>
      <c r="AZ155" s="158" t="str">
        <f t="shared" si="190"/>
        <v>园区基础设施其他</v>
      </c>
      <c r="BA155" s="158" t="s">
        <v>2018</v>
      </c>
      <c r="BB155" s="159"/>
      <c r="BC155" s="160"/>
      <c r="BD155" s="157"/>
      <c r="BE155" s="157"/>
      <c r="BF155" s="157"/>
      <c r="BG155" s="157"/>
      <c r="BH155" s="157"/>
      <c r="BI155" s="157"/>
      <c r="BJ155" s="157" t="str">
        <f t="shared" si="191"/>
        <v>钦州港区管委12月</v>
      </c>
      <c r="BK155" s="157" t="s">
        <v>92</v>
      </c>
      <c r="BL155" s="157" t="s">
        <v>1980</v>
      </c>
      <c r="BM155" s="201" t="str">
        <f t="shared" si="192"/>
        <v>企业钦州港区管委</v>
      </c>
      <c r="BN155" s="201" t="str">
        <f t="shared" si="193"/>
        <v>基础设施钦州港区管委</v>
      </c>
      <c r="BO155" s="201">
        <f t="shared" si="194"/>
        <v>0</v>
      </c>
      <c r="BP155" s="157"/>
      <c r="BQ155" s="157">
        <f t="shared" si="195"/>
        <v>0</v>
      </c>
      <c r="BR155" s="157">
        <f t="shared" si="196"/>
        <v>0</v>
      </c>
      <c r="BS155" s="157">
        <f t="shared" si="197"/>
        <v>0</v>
      </c>
      <c r="BT155" s="157">
        <f t="shared" si="198"/>
        <v>0</v>
      </c>
      <c r="BU155" s="157">
        <f t="shared" si="199"/>
        <v>0</v>
      </c>
      <c r="BV155" s="157"/>
      <c r="BW155" s="206"/>
      <c r="BX155" s="4" t="s">
        <v>1917</v>
      </c>
      <c r="BY155" s="4"/>
      <c r="BZ155" s="4"/>
      <c r="CA155" s="4"/>
      <c r="CB155" s="4"/>
      <c r="CC155" s="4"/>
    </row>
    <row r="156" ht="85.5" customHeight="1" spans="1:81">
      <c r="A156" s="23">
        <f>SUBTOTAL(3,C$10:C156)</f>
        <v>122</v>
      </c>
      <c r="B156" s="804" t="s">
        <v>1005</v>
      </c>
      <c r="C156" s="25" t="s">
        <v>79</v>
      </c>
      <c r="D156" s="635" t="s">
        <v>1006</v>
      </c>
      <c r="E156" s="25" t="s">
        <v>112</v>
      </c>
      <c r="F156" s="25">
        <v>8621</v>
      </c>
      <c r="G156" s="38"/>
      <c r="H156" s="81" t="s">
        <v>263</v>
      </c>
      <c r="I156" s="45"/>
      <c r="J156" s="804"/>
      <c r="K156" s="558">
        <v>500</v>
      </c>
      <c r="L156" s="558">
        <v>1000</v>
      </c>
      <c r="M156" s="38"/>
      <c r="N156" s="635" t="s">
        <v>1007</v>
      </c>
      <c r="O156" s="56"/>
      <c r="P156" s="127"/>
      <c r="Q156" s="115" t="s">
        <v>115</v>
      </c>
      <c r="R156" s="134"/>
      <c r="S156" s="134"/>
      <c r="T156" s="115"/>
      <c r="U156" s="115"/>
      <c r="V156" s="134"/>
      <c r="W156" s="134"/>
      <c r="X156" s="90"/>
      <c r="Y156" s="90"/>
      <c r="Z156" s="251"/>
      <c r="AA156" s="251"/>
      <c r="AB156" s="251"/>
      <c r="AC156" s="251"/>
      <c r="AD156" s="251"/>
      <c r="AE156" s="251"/>
      <c r="AF156" s="251"/>
      <c r="AG156" s="251"/>
      <c r="AH156" s="251"/>
      <c r="AI156" s="251"/>
      <c r="AJ156" s="251"/>
      <c r="AK156" s="251"/>
      <c r="AL156" s="251"/>
      <c r="AM156" s="251">
        <v>1000</v>
      </c>
      <c r="AN156" s="251"/>
      <c r="AO156" s="251"/>
      <c r="AP156" s="76">
        <v>127</v>
      </c>
      <c r="AQ156" s="90"/>
      <c r="AR156" s="815" t="s">
        <v>1008</v>
      </c>
      <c r="AS156" s="815" t="s">
        <v>172</v>
      </c>
      <c r="AT156" s="45" t="s">
        <v>2095</v>
      </c>
      <c r="AU156" s="67" t="s">
        <v>166</v>
      </c>
      <c r="AV156" s="93"/>
      <c r="AW156" s="157"/>
      <c r="AX156" s="158" t="s">
        <v>2051</v>
      </c>
      <c r="AY156" s="158" t="s">
        <v>2061</v>
      </c>
      <c r="AZ156" s="158" t="str">
        <f t="shared" si="190"/>
        <v>园区基础设施其他</v>
      </c>
      <c r="BA156" s="158" t="s">
        <v>2018</v>
      </c>
      <c r="BB156" s="159"/>
      <c r="BC156" s="160"/>
      <c r="BD156" s="157"/>
      <c r="BE156" s="157"/>
      <c r="BF156" s="157"/>
      <c r="BG156" s="157"/>
      <c r="BH156" s="157"/>
      <c r="BI156" s="157"/>
      <c r="BJ156" s="157" t="str">
        <f t="shared" si="191"/>
        <v>钦州保税港区管委7月</v>
      </c>
      <c r="BK156" s="157" t="s">
        <v>92</v>
      </c>
      <c r="BL156" s="157" t="s">
        <v>1980</v>
      </c>
      <c r="BM156" s="201" t="str">
        <f t="shared" si="192"/>
        <v>企业钦州保税港区管委</v>
      </c>
      <c r="BN156" s="201" t="str">
        <f t="shared" si="193"/>
        <v>基础设施钦州保税港区管委</v>
      </c>
      <c r="BO156" s="201">
        <f t="shared" si="194"/>
        <v>0</v>
      </c>
      <c r="BP156" s="157"/>
      <c r="BQ156" s="157">
        <f t="shared" si="195"/>
        <v>0</v>
      </c>
      <c r="BR156" s="157">
        <f t="shared" si="196"/>
        <v>0</v>
      </c>
      <c r="BS156" s="157">
        <f t="shared" si="197"/>
        <v>0</v>
      </c>
      <c r="BT156" s="157">
        <f t="shared" si="198"/>
        <v>0</v>
      </c>
      <c r="BU156" s="157">
        <f t="shared" si="199"/>
        <v>0</v>
      </c>
      <c r="BV156" s="157"/>
      <c r="BW156" s="206"/>
      <c r="BX156" s="4" t="s">
        <v>1917</v>
      </c>
      <c r="BY156" s="4"/>
      <c r="BZ156" s="4"/>
      <c r="CA156" s="4"/>
      <c r="CB156" s="4"/>
      <c r="CC156" s="4"/>
    </row>
    <row r="157" ht="62.25" customHeight="1" spans="1:81">
      <c r="A157" s="23">
        <f>SUBTOTAL(3,C$10:C157)</f>
        <v>123</v>
      </c>
      <c r="B157" s="60" t="s">
        <v>1010</v>
      </c>
      <c r="C157" s="25" t="s">
        <v>79</v>
      </c>
      <c r="D157" s="58" t="s">
        <v>1011</v>
      </c>
      <c r="E157" s="23">
        <v>2019</v>
      </c>
      <c r="F157" s="67">
        <v>1127</v>
      </c>
      <c r="G157" s="38"/>
      <c r="H157" s="81" t="s">
        <v>177</v>
      </c>
      <c r="I157" s="67"/>
      <c r="J157" s="67">
        <v>1127</v>
      </c>
      <c r="K157" s="67">
        <v>1127</v>
      </c>
      <c r="L157" s="67">
        <v>1127</v>
      </c>
      <c r="M157" s="38"/>
      <c r="N157" s="123" t="s">
        <v>1012</v>
      </c>
      <c r="O157" s="56"/>
      <c r="P157" s="127"/>
      <c r="Q157" s="115" t="s">
        <v>115</v>
      </c>
      <c r="R157" s="134"/>
      <c r="S157" s="134"/>
      <c r="T157" s="115"/>
      <c r="U157" s="115"/>
      <c r="V157" s="134"/>
      <c r="W157" s="134"/>
      <c r="X157" s="90"/>
      <c r="Y157" s="90"/>
      <c r="Z157" s="251"/>
      <c r="AA157" s="251"/>
      <c r="AB157" s="251"/>
      <c r="AC157" s="251"/>
      <c r="AD157" s="251"/>
      <c r="AE157" s="251"/>
      <c r="AF157" s="251"/>
      <c r="AG157" s="251"/>
      <c r="AH157" s="251"/>
      <c r="AI157" s="251"/>
      <c r="AJ157" s="251"/>
      <c r="AK157" s="251"/>
      <c r="AL157" s="251"/>
      <c r="AM157" s="251">
        <v>1000</v>
      </c>
      <c r="AN157" s="251"/>
      <c r="AO157" s="251"/>
      <c r="AP157" s="76">
        <v>127</v>
      </c>
      <c r="AQ157" s="90"/>
      <c r="AR157" s="112" t="s">
        <v>117</v>
      </c>
      <c r="AS157" s="66" t="s">
        <v>172</v>
      </c>
      <c r="AT157" s="67" t="s">
        <v>1906</v>
      </c>
      <c r="AU157" s="67" t="s">
        <v>166</v>
      </c>
      <c r="AV157" s="93"/>
      <c r="AW157" s="157"/>
      <c r="AX157" s="158" t="s">
        <v>2051</v>
      </c>
      <c r="AY157" s="158" t="s">
        <v>2061</v>
      </c>
      <c r="AZ157" s="158" t="str">
        <f t="shared" si="190"/>
        <v>园区基础设施其他</v>
      </c>
      <c r="BA157" s="158" t="s">
        <v>2018</v>
      </c>
      <c r="BB157" s="159"/>
      <c r="BC157" s="160"/>
      <c r="BD157" s="157"/>
      <c r="BE157" s="157"/>
      <c r="BF157" s="157"/>
      <c r="BG157" s="157"/>
      <c r="BH157" s="157"/>
      <c r="BI157" s="157"/>
      <c r="BJ157" s="157" t="str">
        <f t="shared" si="191"/>
        <v>钦州保税港区管委4月</v>
      </c>
      <c r="BK157" s="157" t="s">
        <v>92</v>
      </c>
      <c r="BL157" s="157" t="s">
        <v>1980</v>
      </c>
      <c r="BM157" s="201" t="str">
        <f t="shared" si="192"/>
        <v>企业钦州保税港区管委</v>
      </c>
      <c r="BN157" s="201" t="str">
        <f t="shared" si="193"/>
        <v>基础设施钦州保税港区管委</v>
      </c>
      <c r="BO157" s="201">
        <f t="shared" si="194"/>
        <v>0</v>
      </c>
      <c r="BP157" s="157"/>
      <c r="BQ157" s="157">
        <f t="shared" si="195"/>
        <v>0</v>
      </c>
      <c r="BR157" s="157">
        <f t="shared" si="196"/>
        <v>0</v>
      </c>
      <c r="BS157" s="157">
        <f t="shared" si="197"/>
        <v>0</v>
      </c>
      <c r="BT157" s="157">
        <f t="shared" si="198"/>
        <v>0</v>
      </c>
      <c r="BU157" s="157">
        <f t="shared" si="199"/>
        <v>0</v>
      </c>
      <c r="BV157" s="157"/>
      <c r="BW157" s="206"/>
      <c r="BX157" s="4" t="s">
        <v>1917</v>
      </c>
      <c r="BY157" s="4"/>
      <c r="BZ157" s="4"/>
      <c r="CA157" s="4"/>
      <c r="CB157" s="4"/>
      <c r="CC157" s="4"/>
    </row>
    <row r="158" s="6" customFormat="1" ht="63" customHeight="1" spans="1:79">
      <c r="A158" s="23">
        <f>SUBTOTAL(3,C$10:C158)</f>
        <v>124</v>
      </c>
      <c r="B158" s="34" t="s">
        <v>1373</v>
      </c>
      <c r="C158" s="23" t="s">
        <v>79</v>
      </c>
      <c r="D158" s="34" t="s">
        <v>1374</v>
      </c>
      <c r="E158" s="35" t="s">
        <v>112</v>
      </c>
      <c r="F158" s="35">
        <v>2305</v>
      </c>
      <c r="G158" s="35"/>
      <c r="H158" s="81" t="s">
        <v>353</v>
      </c>
      <c r="I158" s="37">
        <v>100</v>
      </c>
      <c r="J158" s="37">
        <v>250</v>
      </c>
      <c r="K158" s="37">
        <v>700</v>
      </c>
      <c r="L158" s="36">
        <v>1000</v>
      </c>
      <c r="M158" s="36"/>
      <c r="N158" s="792" t="s">
        <v>1375</v>
      </c>
      <c r="O158" s="56"/>
      <c r="P158" s="127"/>
      <c r="Q158" s="115"/>
      <c r="R158" s="115"/>
      <c r="S158" s="115"/>
      <c r="T158" s="115"/>
      <c r="U158" s="115"/>
      <c r="V158" s="115"/>
      <c r="W158" s="115"/>
      <c r="X158" s="90"/>
      <c r="Y158" s="90"/>
      <c r="Z158" s="132"/>
      <c r="AA158" s="132"/>
      <c r="AB158" s="132"/>
      <c r="AC158" s="132"/>
      <c r="AD158" s="132"/>
      <c r="AE158" s="132"/>
      <c r="AF158" s="132"/>
      <c r="AG158" s="132"/>
      <c r="AH158" s="132"/>
      <c r="AI158" s="132"/>
      <c r="AJ158" s="132"/>
      <c r="AK158" s="132"/>
      <c r="AL158" s="132"/>
      <c r="AM158" s="251">
        <v>1000</v>
      </c>
      <c r="AN158" s="132"/>
      <c r="AO158" s="132"/>
      <c r="AP158" s="132"/>
      <c r="AQ158" s="90"/>
      <c r="AR158" s="112" t="s">
        <v>806</v>
      </c>
      <c r="AS158" s="123" t="s">
        <v>807</v>
      </c>
      <c r="AT158" s="35" t="s">
        <v>2058</v>
      </c>
      <c r="AU158" s="67" t="s">
        <v>375</v>
      </c>
      <c r="AV158" s="93"/>
      <c r="AW158" s="157"/>
      <c r="AX158" s="158" t="s">
        <v>2051</v>
      </c>
      <c r="AY158" s="158" t="s">
        <v>2061</v>
      </c>
      <c r="AZ158" s="158" t="str">
        <f t="shared" si="190"/>
        <v>园区基础设施其他</v>
      </c>
      <c r="BA158" s="158" t="s">
        <v>2018</v>
      </c>
      <c r="BB158" s="167"/>
      <c r="BC158" s="160"/>
      <c r="BD158" s="157"/>
      <c r="BE158" s="157"/>
      <c r="BF158" s="157"/>
      <c r="BG158" s="157"/>
      <c r="BH158" s="157"/>
      <c r="BI158" s="157"/>
      <c r="BJ158" s="157" t="str">
        <f t="shared" si="191"/>
        <v>钦北区人民政府2月</v>
      </c>
      <c r="BK158" s="157" t="s">
        <v>205</v>
      </c>
      <c r="BL158" s="157" t="s">
        <v>1980</v>
      </c>
      <c r="BM158" s="201" t="str">
        <f t="shared" si="192"/>
        <v>政府钦北区人民政府</v>
      </c>
      <c r="BN158" s="201" t="str">
        <f t="shared" si="193"/>
        <v>基础设施钦北区人民政府</v>
      </c>
      <c r="BO158" s="201">
        <f t="shared" si="194"/>
        <v>0</v>
      </c>
      <c r="BP158" s="157"/>
      <c r="BQ158" s="157">
        <f t="shared" si="195"/>
        <v>0</v>
      </c>
      <c r="BR158" s="157">
        <f t="shared" si="196"/>
        <v>0</v>
      </c>
      <c r="BS158" s="157">
        <f t="shared" si="197"/>
        <v>0</v>
      </c>
      <c r="BT158" s="157">
        <f t="shared" si="198"/>
        <v>0</v>
      </c>
      <c r="BU158" s="157">
        <f t="shared" si="199"/>
        <v>0</v>
      </c>
      <c r="BV158" s="157"/>
      <c r="BW158" s="206"/>
      <c r="BX158" s="6" t="s">
        <v>1895</v>
      </c>
      <c r="BZ158" s="7" t="s">
        <v>1890</v>
      </c>
      <c r="CA158" s="229"/>
    </row>
    <row r="159" s="10" customFormat="1" ht="57.75" customHeight="1" spans="1:75">
      <c r="A159" s="23">
        <f>SUBTOTAL(3,C$10:C159)</f>
        <v>125</v>
      </c>
      <c r="B159" s="243" t="s">
        <v>1506</v>
      </c>
      <c r="C159" s="35" t="s">
        <v>79</v>
      </c>
      <c r="D159" s="232" t="s">
        <v>1507</v>
      </c>
      <c r="E159" s="35" t="s">
        <v>112</v>
      </c>
      <c r="F159" s="35">
        <v>15028</v>
      </c>
      <c r="G159" s="35"/>
      <c r="H159" s="83" t="s">
        <v>122</v>
      </c>
      <c r="I159" s="83"/>
      <c r="J159" s="83"/>
      <c r="K159" s="578">
        <v>1000</v>
      </c>
      <c r="L159" s="35">
        <v>3000</v>
      </c>
      <c r="M159" s="35"/>
      <c r="N159" s="34" t="s">
        <v>1508</v>
      </c>
      <c r="O159" s="256"/>
      <c r="P159" s="257"/>
      <c r="Q159" s="730" t="s">
        <v>115</v>
      </c>
      <c r="R159" s="730" t="s">
        <v>115</v>
      </c>
      <c r="S159" s="730" t="s">
        <v>115</v>
      </c>
      <c r="T159" s="730" t="s">
        <v>115</v>
      </c>
      <c r="U159" s="730" t="s">
        <v>115</v>
      </c>
      <c r="V159" s="265"/>
      <c r="W159" s="730" t="s">
        <v>115</v>
      </c>
      <c r="X159" s="55" t="s">
        <v>2096</v>
      </c>
      <c r="Y159" s="90" t="s">
        <v>2097</v>
      </c>
      <c r="Z159" s="132">
        <v>262.2</v>
      </c>
      <c r="AA159" s="132"/>
      <c r="AB159" s="132">
        <v>262.2</v>
      </c>
      <c r="AC159" s="132">
        <v>426</v>
      </c>
      <c r="AD159" s="132">
        <v>425.727</v>
      </c>
      <c r="AE159" s="132"/>
      <c r="AF159" s="132"/>
      <c r="AG159" s="132"/>
      <c r="AH159" s="132"/>
      <c r="AI159" s="132"/>
      <c r="AJ159" s="132"/>
      <c r="AK159" s="132"/>
      <c r="AL159" s="132">
        <v>3000</v>
      </c>
      <c r="AM159" s="132"/>
      <c r="AN159" s="132"/>
      <c r="AO159" s="132">
        <v>900</v>
      </c>
      <c r="AP159" s="132">
        <v>2100</v>
      </c>
      <c r="AQ159" s="90"/>
      <c r="AR159" s="112" t="s">
        <v>1509</v>
      </c>
      <c r="AS159" s="34" t="s">
        <v>785</v>
      </c>
      <c r="AT159" s="67" t="s">
        <v>2038</v>
      </c>
      <c r="AU159" s="35" t="s">
        <v>317</v>
      </c>
      <c r="AV159" s="171"/>
      <c r="AW159" s="157"/>
      <c r="AX159" s="158" t="s">
        <v>2051</v>
      </c>
      <c r="AY159" s="158" t="s">
        <v>2061</v>
      </c>
      <c r="AZ159" s="158" t="str">
        <f t="shared" si="190"/>
        <v>园区基础设施其他</v>
      </c>
      <c r="BA159" s="158" t="s">
        <v>2018</v>
      </c>
      <c r="BB159" s="167"/>
      <c r="BC159" s="160"/>
      <c r="BD159" s="157"/>
      <c r="BE159" s="157"/>
      <c r="BF159" s="157"/>
      <c r="BG159" s="157"/>
      <c r="BH159" s="157"/>
      <c r="BI159" s="157"/>
      <c r="BJ159" s="157" t="str">
        <f t="shared" si="191"/>
        <v>浦北县人民政府6月</v>
      </c>
      <c r="BK159" s="157" t="s">
        <v>205</v>
      </c>
      <c r="BL159" s="157" t="s">
        <v>1980</v>
      </c>
      <c r="BM159" s="201" t="str">
        <f t="shared" si="192"/>
        <v>政府浦北县人民政府</v>
      </c>
      <c r="BN159" s="201" t="str">
        <f t="shared" si="193"/>
        <v>基础设施浦北县人民政府</v>
      </c>
      <c r="BO159" s="201"/>
      <c r="BP159" s="157"/>
      <c r="BQ159" s="157">
        <f t="shared" si="195"/>
        <v>1</v>
      </c>
      <c r="BR159" s="157">
        <f t="shared" si="196"/>
        <v>0</v>
      </c>
      <c r="BS159" s="157">
        <f t="shared" si="197"/>
        <v>1</v>
      </c>
      <c r="BT159" s="157">
        <f t="shared" si="198"/>
        <v>0</v>
      </c>
      <c r="BU159" s="157">
        <f t="shared" si="199"/>
        <v>1</v>
      </c>
      <c r="BV159" s="157"/>
      <c r="BW159" s="206"/>
    </row>
    <row r="160" s="226" customFormat="1" ht="57.75" customHeight="1" spans="1:75">
      <c r="A160" s="23">
        <f>SUBTOTAL(3,C$10:C160)</f>
        <v>126</v>
      </c>
      <c r="B160" s="55" t="s">
        <v>1678</v>
      </c>
      <c r="C160" s="35" t="s">
        <v>79</v>
      </c>
      <c r="D160" s="231" t="s">
        <v>1679</v>
      </c>
      <c r="E160" s="35" t="s">
        <v>112</v>
      </c>
      <c r="F160" s="35">
        <v>3200</v>
      </c>
      <c r="G160" s="35"/>
      <c r="H160" s="83" t="s">
        <v>353</v>
      </c>
      <c r="I160" s="578">
        <v>200</v>
      </c>
      <c r="J160" s="578">
        <v>500</v>
      </c>
      <c r="K160" s="578">
        <v>800</v>
      </c>
      <c r="L160" s="35">
        <v>1200</v>
      </c>
      <c r="M160" s="35"/>
      <c r="N160" s="34" t="s">
        <v>1680</v>
      </c>
      <c r="O160" s="256"/>
      <c r="P160" s="257"/>
      <c r="Q160" s="730" t="s">
        <v>115</v>
      </c>
      <c r="R160" s="730" t="s">
        <v>115</v>
      </c>
      <c r="S160" s="730" t="s">
        <v>115</v>
      </c>
      <c r="T160" s="730" t="s">
        <v>115</v>
      </c>
      <c r="U160" s="730" t="s">
        <v>115</v>
      </c>
      <c r="V160" s="265"/>
      <c r="W160" s="730" t="s">
        <v>115</v>
      </c>
      <c r="X160" s="55" t="s">
        <v>2096</v>
      </c>
      <c r="Y160" s="90" t="s">
        <v>2097</v>
      </c>
      <c r="Z160" s="132">
        <v>262.2</v>
      </c>
      <c r="AA160" s="132"/>
      <c r="AB160" s="132">
        <v>262.2</v>
      </c>
      <c r="AC160" s="132">
        <v>426</v>
      </c>
      <c r="AD160" s="132">
        <v>425.727</v>
      </c>
      <c r="AE160" s="132"/>
      <c r="AF160" s="132"/>
      <c r="AG160" s="132"/>
      <c r="AH160" s="132"/>
      <c r="AI160" s="132"/>
      <c r="AJ160" s="132"/>
      <c r="AK160" s="132"/>
      <c r="AL160" s="132">
        <v>3000</v>
      </c>
      <c r="AM160" s="132"/>
      <c r="AN160" s="132"/>
      <c r="AO160" s="132">
        <v>900</v>
      </c>
      <c r="AP160" s="132">
        <v>2100</v>
      </c>
      <c r="AQ160" s="90"/>
      <c r="AR160" s="34" t="s">
        <v>117</v>
      </c>
      <c r="AS160" s="647" t="s">
        <v>1681</v>
      </c>
      <c r="AT160" s="35" t="s">
        <v>2098</v>
      </c>
      <c r="AU160" s="35" t="s">
        <v>317</v>
      </c>
      <c r="AV160" s="171"/>
      <c r="AW160" s="35"/>
      <c r="AX160" s="92" t="s">
        <v>2051</v>
      </c>
      <c r="AY160" s="92" t="s">
        <v>2061</v>
      </c>
      <c r="AZ160" s="92" t="str">
        <f t="shared" si="190"/>
        <v>园区基础设施其他</v>
      </c>
      <c r="BA160" s="92" t="s">
        <v>2018</v>
      </c>
      <c r="BB160" s="155"/>
      <c r="BC160" s="67"/>
      <c r="BD160" s="35"/>
      <c r="BE160" s="35"/>
      <c r="BF160" s="35"/>
      <c r="BG160" s="35"/>
      <c r="BH160" s="35"/>
      <c r="BI160" s="35"/>
      <c r="BJ160" s="35" t="str">
        <f t="shared" si="191"/>
        <v>浦北县人民政府2月</v>
      </c>
      <c r="BK160" s="35" t="s">
        <v>92</v>
      </c>
      <c r="BL160" s="157" t="s">
        <v>1980</v>
      </c>
      <c r="BM160" s="179" t="str">
        <f t="shared" si="192"/>
        <v>企业浦北县人民政府</v>
      </c>
      <c r="BN160" s="179" t="str">
        <f t="shared" si="193"/>
        <v>基础设施浦北县人民政府</v>
      </c>
      <c r="BO160" s="179"/>
      <c r="BP160" s="35"/>
      <c r="BQ160" s="35">
        <f t="shared" si="195"/>
        <v>1</v>
      </c>
      <c r="BR160" s="35">
        <f t="shared" si="196"/>
        <v>0</v>
      </c>
      <c r="BS160" s="35">
        <f t="shared" si="197"/>
        <v>1</v>
      </c>
      <c r="BT160" s="35">
        <f t="shared" si="198"/>
        <v>0</v>
      </c>
      <c r="BU160" s="35">
        <f t="shared" si="199"/>
        <v>1</v>
      </c>
      <c r="BV160" s="35"/>
      <c r="BW160" s="217"/>
    </row>
    <row r="161" s="9" customFormat="1" ht="30" customHeight="1" spans="1:73">
      <c r="A161" s="551" t="s">
        <v>2099</v>
      </c>
      <c r="B161" s="557" t="str">
        <f>"农林水（"&amp;SUBTOTAL(3,C162:C163)&amp;"个）"</f>
        <v>农林水（2个）</v>
      </c>
      <c r="C161" s="557"/>
      <c r="D161" s="557"/>
      <c r="E161" s="551"/>
      <c r="F161" s="134">
        <f t="shared" ref="F161:M161" si="200">SUBTOTAL(9,F162:F163)</f>
        <v>8705</v>
      </c>
      <c r="G161" s="134"/>
      <c r="H161" s="134"/>
      <c r="I161" s="134">
        <f t="shared" si="200"/>
        <v>0</v>
      </c>
      <c r="J161" s="134">
        <f t="shared" si="200"/>
        <v>0</v>
      </c>
      <c r="K161" s="134">
        <f t="shared" si="200"/>
        <v>0</v>
      </c>
      <c r="L161" s="134">
        <f t="shared" si="200"/>
        <v>2600</v>
      </c>
      <c r="M161" s="134">
        <f t="shared" si="200"/>
        <v>0</v>
      </c>
      <c r="N161" s="591"/>
      <c r="O161" s="67"/>
      <c r="P161" s="67"/>
      <c r="Q161" s="115"/>
      <c r="R161" s="115"/>
      <c r="S161" s="115"/>
      <c r="T161" s="115"/>
      <c r="U161" s="115"/>
      <c r="V161" s="115"/>
      <c r="W161" s="115"/>
      <c r="X161" s="674"/>
      <c r="Y161" s="90"/>
      <c r="Z161" s="132"/>
      <c r="AA161" s="132"/>
      <c r="AB161" s="132"/>
      <c r="AC161" s="132"/>
      <c r="AD161" s="132"/>
      <c r="AE161" s="132"/>
      <c r="AF161" s="132"/>
      <c r="AG161" s="132"/>
      <c r="AH161" s="132"/>
      <c r="AI161" s="132"/>
      <c r="AJ161" s="132"/>
      <c r="AK161" s="132"/>
      <c r="AL161" s="132"/>
      <c r="AM161" s="132"/>
      <c r="AN161" s="132"/>
      <c r="AO161" s="132"/>
      <c r="AP161" s="132"/>
      <c r="AQ161" s="90"/>
      <c r="AR161" s="112"/>
      <c r="AS161" s="591"/>
      <c r="AT161" s="134"/>
      <c r="AU161" s="134"/>
      <c r="AV161" s="93"/>
      <c r="AW161" s="165"/>
      <c r="AX161" s="158"/>
      <c r="AY161" s="158"/>
      <c r="AZ161" s="158"/>
      <c r="BA161" s="158"/>
      <c r="BB161" s="169"/>
      <c r="BC161" s="165"/>
      <c r="BD161" s="165"/>
      <c r="BE161" s="165"/>
      <c r="BF161" s="169"/>
      <c r="BG161" s="169"/>
      <c r="BH161" s="169"/>
      <c r="BJ161" s="165"/>
      <c r="BK161" s="157"/>
      <c r="BL161" s="157"/>
      <c r="BN161" s="201"/>
      <c r="BO161" s="7"/>
      <c r="BP161" s="157"/>
      <c r="BQ161" s="157"/>
      <c r="BR161" s="157"/>
      <c r="BS161" s="157"/>
      <c r="BT161" s="157"/>
      <c r="BU161" s="157"/>
    </row>
    <row r="162" s="10" customFormat="1" ht="68.25" customHeight="1" spans="1:76">
      <c r="A162" s="23">
        <f>SUBTOTAL(3,C$10:C162)</f>
        <v>127</v>
      </c>
      <c r="B162" s="233" t="s">
        <v>1529</v>
      </c>
      <c r="C162" s="87" t="s">
        <v>79</v>
      </c>
      <c r="D162" s="233" t="s">
        <v>1530</v>
      </c>
      <c r="E162" s="86" t="s">
        <v>143</v>
      </c>
      <c r="F162" s="87">
        <v>6831</v>
      </c>
      <c r="G162" s="87"/>
      <c r="H162" s="81" t="s">
        <v>82</v>
      </c>
      <c r="I162" s="81"/>
      <c r="J162" s="81"/>
      <c r="K162" s="81"/>
      <c r="L162" s="87">
        <v>2000</v>
      </c>
      <c r="M162" s="87"/>
      <c r="N162" s="86" t="s">
        <v>2100</v>
      </c>
      <c r="O162" s="127"/>
      <c r="P162" s="127"/>
      <c r="Q162" s="115" t="s">
        <v>115</v>
      </c>
      <c r="R162" s="115"/>
      <c r="S162" s="115" t="s">
        <v>115</v>
      </c>
      <c r="T162" s="115" t="s">
        <v>115</v>
      </c>
      <c r="U162" s="115" t="s">
        <v>115</v>
      </c>
      <c r="V162" s="115"/>
      <c r="W162" s="115"/>
      <c r="X162" s="233" t="s">
        <v>2101</v>
      </c>
      <c r="Y162" s="233" t="s">
        <v>2102</v>
      </c>
      <c r="Z162" s="261">
        <v>239</v>
      </c>
      <c r="AA162" s="261"/>
      <c r="AB162" s="261">
        <v>239</v>
      </c>
      <c r="AC162" s="261">
        <v>40</v>
      </c>
      <c r="AD162" s="261"/>
      <c r="AE162" s="261">
        <v>40</v>
      </c>
      <c r="AF162" s="261">
        <v>40</v>
      </c>
      <c r="AG162" s="261"/>
      <c r="AH162" s="261">
        <v>40</v>
      </c>
      <c r="AI162" s="261">
        <v>58</v>
      </c>
      <c r="AJ162" s="261"/>
      <c r="AK162" s="261">
        <v>58</v>
      </c>
      <c r="AL162" s="261">
        <v>2000</v>
      </c>
      <c r="AM162" s="261"/>
      <c r="AN162" s="261"/>
      <c r="AO162" s="261"/>
      <c r="AP162" s="261">
        <v>2000</v>
      </c>
      <c r="AQ162" s="90"/>
      <c r="AR162" s="86" t="s">
        <v>1532</v>
      </c>
      <c r="AS162" s="86" t="s">
        <v>1533</v>
      </c>
      <c r="AT162" s="87" t="s">
        <v>2103</v>
      </c>
      <c r="AU162" s="35" t="s">
        <v>359</v>
      </c>
      <c r="AV162" s="171"/>
      <c r="AW162" s="157"/>
      <c r="AX162" s="158" t="s">
        <v>2104</v>
      </c>
      <c r="AY162" s="158" t="s">
        <v>2105</v>
      </c>
      <c r="AZ162" s="158" t="str">
        <f>AY162&amp;AX162</f>
        <v>农林水水利</v>
      </c>
      <c r="BA162" s="158" t="str">
        <f>AX162</f>
        <v>水利</v>
      </c>
      <c r="BB162" s="167"/>
      <c r="BC162" s="160"/>
      <c r="BD162" s="157"/>
      <c r="BE162" s="157"/>
      <c r="BF162" s="157"/>
      <c r="BG162" s="157"/>
      <c r="BH162" s="157"/>
      <c r="BI162" s="162"/>
      <c r="BJ162" s="157" t="str">
        <f>AU162&amp;H162</f>
        <v>钦南区人民政府10月</v>
      </c>
      <c r="BK162" s="157" t="s">
        <v>205</v>
      </c>
      <c r="BL162" s="157" t="s">
        <v>1980</v>
      </c>
      <c r="BM162" s="201" t="str">
        <f>BK162&amp;AU162</f>
        <v>政府钦南区人民政府</v>
      </c>
      <c r="BN162" s="201" t="str">
        <f>BL162&amp;AU162</f>
        <v>基础设施钦南区人民政府</v>
      </c>
      <c r="BO162" s="201">
        <f>IF(O162&gt;0,1,0)</f>
        <v>0</v>
      </c>
      <c r="BP162" s="157"/>
      <c r="BQ162" s="157">
        <f>IF(Z162&gt;0,1,0)</f>
        <v>1</v>
      </c>
      <c r="BR162" s="157">
        <f>IF(AF162&gt;0,1,0)</f>
        <v>1</v>
      </c>
      <c r="BS162" s="157">
        <f>IF(AC162&gt;0,1,0)</f>
        <v>1</v>
      </c>
      <c r="BT162" s="157">
        <f>IF(AI162&gt;0,1,0)</f>
        <v>1</v>
      </c>
      <c r="BU162" s="157">
        <f>IF(AL162&gt;0,1,0)</f>
        <v>1</v>
      </c>
      <c r="BV162" s="162"/>
      <c r="BW162" s="206"/>
      <c r="BX162" s="10" t="s">
        <v>1904</v>
      </c>
    </row>
    <row r="163" s="10" customFormat="1" ht="68.25" customHeight="1" spans="1:76">
      <c r="A163" s="23">
        <f>SUBTOTAL(3,C$10:C163)</f>
        <v>128</v>
      </c>
      <c r="B163" s="233" t="s">
        <v>1553</v>
      </c>
      <c r="C163" s="87" t="s">
        <v>79</v>
      </c>
      <c r="D163" s="233" t="s">
        <v>2106</v>
      </c>
      <c r="E163" s="86" t="s">
        <v>112</v>
      </c>
      <c r="F163" s="87">
        <v>1874</v>
      </c>
      <c r="G163" s="87"/>
      <c r="H163" s="81" t="s">
        <v>283</v>
      </c>
      <c r="I163" s="81"/>
      <c r="J163" s="81"/>
      <c r="K163" s="81"/>
      <c r="L163" s="87">
        <v>600</v>
      </c>
      <c r="M163" s="87"/>
      <c r="N163" s="112" t="s">
        <v>1555</v>
      </c>
      <c r="O163" s="127"/>
      <c r="P163" s="127"/>
      <c r="Q163" s="115"/>
      <c r="R163" s="115"/>
      <c r="S163" s="115"/>
      <c r="T163" s="115"/>
      <c r="U163" s="115"/>
      <c r="V163" s="115"/>
      <c r="W163" s="115"/>
      <c r="X163" s="233"/>
      <c r="Y163" s="233"/>
      <c r="Z163" s="261"/>
      <c r="AA163" s="261"/>
      <c r="AB163" s="261"/>
      <c r="AC163" s="261"/>
      <c r="AD163" s="261"/>
      <c r="AE163" s="261"/>
      <c r="AF163" s="261"/>
      <c r="AG163" s="261"/>
      <c r="AH163" s="261"/>
      <c r="AI163" s="261"/>
      <c r="AJ163" s="261"/>
      <c r="AK163" s="261"/>
      <c r="AL163" s="261"/>
      <c r="AM163" s="261"/>
      <c r="AN163" s="261"/>
      <c r="AO163" s="261"/>
      <c r="AP163" s="261"/>
      <c r="AQ163" s="90"/>
      <c r="AR163" s="86" t="s">
        <v>117</v>
      </c>
      <c r="AS163" s="86" t="s">
        <v>1556</v>
      </c>
      <c r="AT163" s="87" t="s">
        <v>2107</v>
      </c>
      <c r="AU163" s="35" t="s">
        <v>375</v>
      </c>
      <c r="AV163" s="171"/>
      <c r="AW163" s="157"/>
      <c r="AX163" s="158" t="s">
        <v>2104</v>
      </c>
      <c r="AY163" s="158" t="s">
        <v>2105</v>
      </c>
      <c r="AZ163" s="158" t="str">
        <f>AY163&amp;AX163</f>
        <v>农林水水利</v>
      </c>
      <c r="BA163" s="158" t="str">
        <f>AX163</f>
        <v>水利</v>
      </c>
      <c r="BB163" s="167"/>
      <c r="BC163" s="160"/>
      <c r="BD163" s="157"/>
      <c r="BE163" s="157"/>
      <c r="BF163" s="157"/>
      <c r="BG163" s="157"/>
      <c r="BH163" s="157"/>
      <c r="BI163" s="162"/>
      <c r="BJ163" s="157" t="str">
        <f>AU163&amp;H163</f>
        <v>钦北区人民政府11月</v>
      </c>
      <c r="BK163" s="157" t="s">
        <v>205</v>
      </c>
      <c r="BL163" s="157" t="s">
        <v>1980</v>
      </c>
      <c r="BM163" s="201" t="str">
        <f>BK163&amp;AU163</f>
        <v>政府钦北区人民政府</v>
      </c>
      <c r="BN163" s="201" t="str">
        <f>BL163&amp;AU163</f>
        <v>基础设施钦北区人民政府</v>
      </c>
      <c r="BO163" s="201">
        <f>IF(O163&gt;0,1,0)</f>
        <v>0</v>
      </c>
      <c r="BP163" s="157"/>
      <c r="BQ163" s="157">
        <f>IF(Z163&gt;0,1,0)</f>
        <v>0</v>
      </c>
      <c r="BR163" s="157">
        <f>IF(AF163&gt;0,1,0)</f>
        <v>0</v>
      </c>
      <c r="BS163" s="157">
        <f>IF(AC163&gt;0,1,0)</f>
        <v>0</v>
      </c>
      <c r="BT163" s="157">
        <f>IF(AI163&gt;0,1,0)</f>
        <v>0</v>
      </c>
      <c r="BU163" s="157">
        <f>IF(AL163&gt;0,1,0)</f>
        <v>0</v>
      </c>
      <c r="BV163" s="162"/>
      <c r="BW163" s="206"/>
      <c r="BX163" s="10" t="s">
        <v>1904</v>
      </c>
    </row>
    <row r="164" s="9" customFormat="1" ht="30" customHeight="1" spans="1:73">
      <c r="A164" s="551" t="s">
        <v>2108</v>
      </c>
      <c r="B164" s="557" t="str">
        <f>"服务业（"&amp;SUBTOTAL(3,C166:C187)&amp;"个）"</f>
        <v>服务业（20个）</v>
      </c>
      <c r="C164" s="557"/>
      <c r="D164" s="557"/>
      <c r="E164" s="551"/>
      <c r="F164" s="134">
        <f t="shared" ref="F164:M164" si="201">F165+F173+F184</f>
        <v>1408668.22</v>
      </c>
      <c r="G164" s="134"/>
      <c r="H164" s="134"/>
      <c r="I164" s="134">
        <f t="shared" si="201"/>
        <v>3160</v>
      </c>
      <c r="J164" s="134">
        <f t="shared" si="201"/>
        <v>11250</v>
      </c>
      <c r="K164" s="134">
        <f t="shared" si="201"/>
        <v>48280</v>
      </c>
      <c r="L164" s="134">
        <f t="shared" si="201"/>
        <v>113000</v>
      </c>
      <c r="M164" s="134">
        <f t="shared" si="201"/>
        <v>0</v>
      </c>
      <c r="N164" s="591"/>
      <c r="O164" s="67"/>
      <c r="P164" s="118"/>
      <c r="Q164" s="115"/>
      <c r="R164" s="115"/>
      <c r="S164" s="115"/>
      <c r="T164" s="115"/>
      <c r="U164" s="115"/>
      <c r="V164" s="115"/>
      <c r="W164" s="115"/>
      <c r="X164" s="674"/>
      <c r="Y164" s="90"/>
      <c r="Z164" s="253"/>
      <c r="AA164" s="253"/>
      <c r="AB164" s="253"/>
      <c r="AC164" s="253"/>
      <c r="AD164" s="253"/>
      <c r="AE164" s="253"/>
      <c r="AF164" s="253"/>
      <c r="AG164" s="253"/>
      <c r="AH164" s="253"/>
      <c r="AI164" s="253"/>
      <c r="AJ164" s="253"/>
      <c r="AK164" s="253"/>
      <c r="AL164" s="253"/>
      <c r="AM164" s="253"/>
      <c r="AN164" s="253"/>
      <c r="AO164" s="253"/>
      <c r="AP164" s="253"/>
      <c r="AQ164" s="90"/>
      <c r="AR164" s="112"/>
      <c r="AS164" s="591"/>
      <c r="AT164" s="134"/>
      <c r="AU164" s="134"/>
      <c r="AV164" s="93"/>
      <c r="AW164" s="165"/>
      <c r="AX164" s="158"/>
      <c r="AY164" s="158"/>
      <c r="AZ164" s="158"/>
      <c r="BA164" s="158"/>
      <c r="BB164" s="169"/>
      <c r="BC164" s="165"/>
      <c r="BD164" s="165"/>
      <c r="BE164" s="165"/>
      <c r="BF164" s="169"/>
      <c r="BG164" s="169"/>
      <c r="BH164" s="169"/>
      <c r="BJ164" s="165"/>
      <c r="BK164" s="157"/>
      <c r="BL164" s="157"/>
      <c r="BN164" s="201"/>
      <c r="BO164" s="7"/>
      <c r="BP164" s="157"/>
      <c r="BQ164" s="157"/>
      <c r="BR164" s="157"/>
      <c r="BS164" s="157"/>
      <c r="BT164" s="157"/>
      <c r="BU164" s="157"/>
    </row>
    <row r="165" s="9" customFormat="1" ht="19.5" customHeight="1" spans="1:74">
      <c r="A165" s="551"/>
      <c r="B165" s="557" t="str">
        <f>"商贸流通（"&amp;SUBTOTAL(3,C166:C172)&amp;"个）"</f>
        <v>商贸流通（7个）</v>
      </c>
      <c r="C165" s="551"/>
      <c r="D165" s="554"/>
      <c r="E165" s="551"/>
      <c r="F165" s="134">
        <f t="shared" ref="F165:M165" si="202">SUBTOTAL(9,F166:F172)</f>
        <v>446280</v>
      </c>
      <c r="G165" s="134"/>
      <c r="H165" s="134"/>
      <c r="I165" s="134">
        <f t="shared" si="202"/>
        <v>2000</v>
      </c>
      <c r="J165" s="134">
        <f t="shared" si="202"/>
        <v>6300</v>
      </c>
      <c r="K165" s="134">
        <f t="shared" si="202"/>
        <v>16500</v>
      </c>
      <c r="L165" s="134">
        <f t="shared" si="202"/>
        <v>31000</v>
      </c>
      <c r="M165" s="134">
        <f t="shared" si="202"/>
        <v>0</v>
      </c>
      <c r="N165" s="591"/>
      <c r="O165" s="134"/>
      <c r="P165" s="118"/>
      <c r="Q165" s="115"/>
      <c r="R165" s="115"/>
      <c r="S165" s="115"/>
      <c r="T165" s="115"/>
      <c r="U165" s="115"/>
      <c r="V165" s="115"/>
      <c r="W165" s="115"/>
      <c r="X165" s="90"/>
      <c r="Y165" s="90"/>
      <c r="Z165" s="253"/>
      <c r="AA165" s="253"/>
      <c r="AB165" s="253"/>
      <c r="AC165" s="253"/>
      <c r="AD165" s="253"/>
      <c r="AE165" s="253"/>
      <c r="AF165" s="253"/>
      <c r="AG165" s="253"/>
      <c r="AH165" s="253"/>
      <c r="AI165" s="253"/>
      <c r="AJ165" s="253"/>
      <c r="AK165" s="253"/>
      <c r="AL165" s="253"/>
      <c r="AM165" s="253"/>
      <c r="AN165" s="253"/>
      <c r="AO165" s="253"/>
      <c r="AP165" s="253"/>
      <c r="AQ165" s="90"/>
      <c r="AR165" s="112"/>
      <c r="AS165" s="591"/>
      <c r="AT165" s="134"/>
      <c r="AU165" s="134"/>
      <c r="AV165" s="93"/>
      <c r="AW165" s="165"/>
      <c r="AX165" s="158"/>
      <c r="AY165" s="158"/>
      <c r="AZ165" s="158"/>
      <c r="BA165" s="158"/>
      <c r="BB165" s="169"/>
      <c r="BC165" s="165"/>
      <c r="BD165" s="165"/>
      <c r="BE165" s="165"/>
      <c r="BF165" s="169"/>
      <c r="BG165" s="169"/>
      <c r="BH165" s="169"/>
      <c r="BI165" s="183"/>
      <c r="BJ165" s="165"/>
      <c r="BK165" s="157"/>
      <c r="BL165" s="157"/>
      <c r="BN165" s="201"/>
      <c r="BO165" s="7"/>
      <c r="BP165" s="157"/>
      <c r="BQ165" s="157"/>
      <c r="BR165" s="157"/>
      <c r="BS165" s="157"/>
      <c r="BT165" s="157"/>
      <c r="BU165" s="157"/>
      <c r="BV165" s="183"/>
    </row>
    <row r="166" ht="62.25" customHeight="1" spans="1:81">
      <c r="A166" s="23">
        <f>SUBTOTAL(3,C$10:C166)</f>
        <v>129</v>
      </c>
      <c r="B166" s="55" t="s">
        <v>465</v>
      </c>
      <c r="C166" s="35" t="s">
        <v>79</v>
      </c>
      <c r="D166" s="55" t="s">
        <v>466</v>
      </c>
      <c r="E166" s="35" t="s">
        <v>112</v>
      </c>
      <c r="F166" s="36">
        <v>10000</v>
      </c>
      <c r="G166" s="36"/>
      <c r="H166" s="83" t="s">
        <v>122</v>
      </c>
      <c r="I166" s="83"/>
      <c r="J166" s="578">
        <v>100</v>
      </c>
      <c r="K166" s="578">
        <v>500</v>
      </c>
      <c r="L166" s="36">
        <v>1000</v>
      </c>
      <c r="M166" s="36"/>
      <c r="N166" s="112" t="s">
        <v>467</v>
      </c>
      <c r="O166" s="111"/>
      <c r="P166" s="67"/>
      <c r="Q166" s="134" t="s">
        <v>115</v>
      </c>
      <c r="R166" s="115"/>
      <c r="S166" s="115"/>
      <c r="T166" s="115"/>
      <c r="U166" s="115"/>
      <c r="V166" s="115"/>
      <c r="W166" s="115"/>
      <c r="X166" s="90" t="s">
        <v>468</v>
      </c>
      <c r="Y166" s="90" t="s">
        <v>469</v>
      </c>
      <c r="Z166" s="253"/>
      <c r="AA166" s="253"/>
      <c r="AB166" s="253"/>
      <c r="AC166" s="253"/>
      <c r="AD166" s="253"/>
      <c r="AE166" s="253"/>
      <c r="AF166" s="253"/>
      <c r="AG166" s="253"/>
      <c r="AH166" s="253"/>
      <c r="AI166" s="253"/>
      <c r="AJ166" s="253"/>
      <c r="AK166" s="253"/>
      <c r="AL166" s="132">
        <v>1000</v>
      </c>
      <c r="AM166" s="132"/>
      <c r="AN166" s="132"/>
      <c r="AO166" s="132"/>
      <c r="AP166" s="132">
        <v>1000</v>
      </c>
      <c r="AQ166" s="90"/>
      <c r="AR166" s="66" t="s">
        <v>133</v>
      </c>
      <c r="AS166" s="34" t="s">
        <v>470</v>
      </c>
      <c r="AT166" s="35" t="s">
        <v>2109</v>
      </c>
      <c r="AU166" s="35" t="s">
        <v>119</v>
      </c>
      <c r="AV166" s="55"/>
      <c r="AW166" s="157"/>
      <c r="AX166" s="158" t="s">
        <v>2110</v>
      </c>
      <c r="AY166" s="158" t="s">
        <v>459</v>
      </c>
      <c r="AZ166" s="158" t="str">
        <f t="shared" ref="AZ166:AZ172" si="203">AY166&amp;AX166</f>
        <v>服务业商贸流通</v>
      </c>
      <c r="BA166" s="158" t="str">
        <f t="shared" ref="BA166:BA172" si="204">AX166</f>
        <v>商贸流通</v>
      </c>
      <c r="BB166" s="159"/>
      <c r="BC166" s="160"/>
      <c r="BD166" s="157"/>
      <c r="BE166" s="157"/>
      <c r="BF166" s="157"/>
      <c r="BG166" s="157"/>
      <c r="BH166" s="157"/>
      <c r="BI166" s="157"/>
      <c r="BJ166" s="157" t="str">
        <f t="shared" ref="BJ166:BJ172" si="205">AU166&amp;H166</f>
        <v>钦州港区管委6月</v>
      </c>
      <c r="BK166" s="157" t="s">
        <v>92</v>
      </c>
      <c r="BL166" s="157" t="s">
        <v>93</v>
      </c>
      <c r="BM166" s="201" t="str">
        <f t="shared" ref="BM166:BM172" si="206">BK166&amp;AU166</f>
        <v>企业钦州港区管委</v>
      </c>
      <c r="BN166" s="201" t="str">
        <f t="shared" ref="BN166:BN172" si="207">BL166&amp;AU166</f>
        <v>产业钦州港区管委</v>
      </c>
      <c r="BO166" s="201">
        <f t="shared" ref="BO166:BO172" si="208">IF(O166&gt;0,1,0)</f>
        <v>0</v>
      </c>
      <c r="BP166" s="157"/>
      <c r="BQ166" s="157">
        <f t="shared" ref="BQ166:BQ172" si="209">IF(Z166&gt;0,1,0)</f>
        <v>0</v>
      </c>
      <c r="BR166" s="157">
        <f t="shared" ref="BR166:BR172" si="210">IF(AF166&gt;0,1,0)</f>
        <v>0</v>
      </c>
      <c r="BS166" s="157">
        <f t="shared" ref="BS166:BS172" si="211">IF(AC166&gt;0,1,0)</f>
        <v>0</v>
      </c>
      <c r="BT166" s="157">
        <f t="shared" ref="BT166:BT172" si="212">IF(AI166&gt;0,1,0)</f>
        <v>0</v>
      </c>
      <c r="BU166" s="157">
        <f t="shared" ref="BU166:BU172" si="213">IF(AL166&gt;0,1,0)</f>
        <v>1</v>
      </c>
      <c r="BV166" s="157"/>
      <c r="BW166" s="206"/>
      <c r="BY166" s="4"/>
      <c r="BZ166" s="4"/>
      <c r="CA166" s="4"/>
      <c r="CB166" s="4"/>
      <c r="CC166" s="4"/>
    </row>
    <row r="167" ht="71.25" customHeight="1" spans="1:81">
      <c r="A167" s="23">
        <f>SUBTOTAL(3,C$10:C167)</f>
        <v>130</v>
      </c>
      <c r="B167" s="805" t="s">
        <v>471</v>
      </c>
      <c r="C167" s="25" t="s">
        <v>79</v>
      </c>
      <c r="D167" s="650" t="s">
        <v>472</v>
      </c>
      <c r="E167" s="178" t="s">
        <v>112</v>
      </c>
      <c r="F167" s="757">
        <v>3280</v>
      </c>
      <c r="G167" s="36"/>
      <c r="H167" s="83" t="s">
        <v>144</v>
      </c>
      <c r="I167" s="83"/>
      <c r="J167" s="67">
        <v>200</v>
      </c>
      <c r="K167" s="67">
        <v>500</v>
      </c>
      <c r="L167" s="67">
        <v>1000</v>
      </c>
      <c r="M167" s="36"/>
      <c r="N167" s="58" t="s">
        <v>321</v>
      </c>
      <c r="O167" s="36"/>
      <c r="P167" s="118"/>
      <c r="Q167" s="730" t="s">
        <v>115</v>
      </c>
      <c r="R167" s="730" t="s">
        <v>115</v>
      </c>
      <c r="S167" s="115"/>
      <c r="T167" s="115"/>
      <c r="U167" s="115"/>
      <c r="V167" s="115"/>
      <c r="W167" s="115"/>
      <c r="X167" s="90"/>
      <c r="Y167" s="90"/>
      <c r="Z167" s="132"/>
      <c r="AA167" s="132"/>
      <c r="AB167" s="132"/>
      <c r="AC167" s="132"/>
      <c r="AD167" s="132"/>
      <c r="AE167" s="132"/>
      <c r="AF167" s="132"/>
      <c r="AG167" s="132"/>
      <c r="AH167" s="132"/>
      <c r="AI167" s="132"/>
      <c r="AJ167" s="132"/>
      <c r="AK167" s="132"/>
      <c r="AL167" s="132"/>
      <c r="AM167" s="132"/>
      <c r="AN167" s="132"/>
      <c r="AO167" s="132">
        <v>1000</v>
      </c>
      <c r="AP167" s="132"/>
      <c r="AQ167" s="90"/>
      <c r="AR167" s="112" t="s">
        <v>117</v>
      </c>
      <c r="AS167" s="24" t="s">
        <v>473</v>
      </c>
      <c r="AT167" s="178" t="s">
        <v>2111</v>
      </c>
      <c r="AU167" s="67" t="s">
        <v>166</v>
      </c>
      <c r="AV167" s="55"/>
      <c r="AW167" s="157"/>
      <c r="AX167" s="158" t="s">
        <v>2110</v>
      </c>
      <c r="AY167" s="158" t="s">
        <v>459</v>
      </c>
      <c r="AZ167" s="158" t="str">
        <f t="shared" si="203"/>
        <v>服务业商贸流通</v>
      </c>
      <c r="BA167" s="158" t="str">
        <f t="shared" si="204"/>
        <v>商贸流通</v>
      </c>
      <c r="BB167" s="159"/>
      <c r="BC167" s="160"/>
      <c r="BD167" s="157"/>
      <c r="BE167" s="157"/>
      <c r="BF167" s="157"/>
      <c r="BG167" s="157"/>
      <c r="BH167" s="157"/>
      <c r="BI167" s="157"/>
      <c r="BJ167" s="157" t="str">
        <f t="shared" si="205"/>
        <v>钦州保税港区管委5月</v>
      </c>
      <c r="BK167" s="157" t="s">
        <v>92</v>
      </c>
      <c r="BL167" s="157" t="s">
        <v>93</v>
      </c>
      <c r="BM167" s="201" t="str">
        <f t="shared" si="206"/>
        <v>企业钦州保税港区管委</v>
      </c>
      <c r="BN167" s="201" t="str">
        <f t="shared" si="207"/>
        <v>产业钦州保税港区管委</v>
      </c>
      <c r="BO167" s="201">
        <f t="shared" si="208"/>
        <v>0</v>
      </c>
      <c r="BP167" s="157"/>
      <c r="BQ167" s="157">
        <f t="shared" si="209"/>
        <v>0</v>
      </c>
      <c r="BR167" s="157">
        <f t="shared" si="210"/>
        <v>0</v>
      </c>
      <c r="BS167" s="157">
        <f t="shared" si="211"/>
        <v>0</v>
      </c>
      <c r="BT167" s="157">
        <f t="shared" si="212"/>
        <v>0</v>
      </c>
      <c r="BU167" s="157">
        <f t="shared" si="213"/>
        <v>0</v>
      </c>
      <c r="BV167" s="157"/>
      <c r="BW167" s="206"/>
      <c r="BY167" s="4"/>
      <c r="BZ167" s="7" t="s">
        <v>1890</v>
      </c>
      <c r="CA167" s="4"/>
      <c r="CB167" s="4"/>
      <c r="CC167" s="4"/>
    </row>
    <row r="168" ht="71.25" customHeight="1" spans="1:81">
      <c r="A168" s="23">
        <f>SUBTOTAL(3,C$10:C168)</f>
        <v>131</v>
      </c>
      <c r="B168" s="55" t="s">
        <v>474</v>
      </c>
      <c r="C168" s="35" t="s">
        <v>79</v>
      </c>
      <c r="D168" s="55" t="s">
        <v>2112</v>
      </c>
      <c r="E168" s="35" t="s">
        <v>81</v>
      </c>
      <c r="F168" s="36">
        <v>200000</v>
      </c>
      <c r="G168" s="36"/>
      <c r="H168" s="83" t="s">
        <v>122</v>
      </c>
      <c r="I168" s="83"/>
      <c r="J168" s="578">
        <v>2000</v>
      </c>
      <c r="K168" s="578">
        <v>6000</v>
      </c>
      <c r="L168" s="36">
        <v>10000</v>
      </c>
      <c r="M168" s="36"/>
      <c r="N168" s="112" t="s">
        <v>189</v>
      </c>
      <c r="O168" s="36"/>
      <c r="P168" s="118"/>
      <c r="Q168" s="730" t="s">
        <v>115</v>
      </c>
      <c r="R168" s="730" t="s">
        <v>115</v>
      </c>
      <c r="S168" s="115"/>
      <c r="T168" s="115"/>
      <c r="U168" s="115"/>
      <c r="V168" s="115"/>
      <c r="W168" s="115"/>
      <c r="X168" s="90" t="s">
        <v>476</v>
      </c>
      <c r="Y168" s="90" t="s">
        <v>117</v>
      </c>
      <c r="Z168" s="132">
        <v>1000</v>
      </c>
      <c r="AA168" s="132">
        <v>200</v>
      </c>
      <c r="AB168" s="132">
        <v>800</v>
      </c>
      <c r="AC168" s="132"/>
      <c r="AD168" s="132"/>
      <c r="AE168" s="132"/>
      <c r="AF168" s="132"/>
      <c r="AG168" s="132"/>
      <c r="AH168" s="132"/>
      <c r="AI168" s="132"/>
      <c r="AJ168" s="132"/>
      <c r="AK168" s="132"/>
      <c r="AL168" s="132">
        <v>10000</v>
      </c>
      <c r="AM168" s="132"/>
      <c r="AN168" s="132"/>
      <c r="AO168" s="132">
        <v>10000</v>
      </c>
      <c r="AP168" s="132"/>
      <c r="AQ168" s="90"/>
      <c r="AR168" s="112" t="s">
        <v>117</v>
      </c>
      <c r="AS168" s="34" t="s">
        <v>477</v>
      </c>
      <c r="AT168" s="35" t="s">
        <v>2113</v>
      </c>
      <c r="AU168" s="35" t="s">
        <v>185</v>
      </c>
      <c r="AV168" s="55"/>
      <c r="AW168" s="157"/>
      <c r="AX168" s="158" t="s">
        <v>2110</v>
      </c>
      <c r="AY168" s="158" t="s">
        <v>459</v>
      </c>
      <c r="AZ168" s="158" t="str">
        <f t="shared" si="203"/>
        <v>服务业商贸流通</v>
      </c>
      <c r="BA168" s="158" t="str">
        <f t="shared" si="204"/>
        <v>商贸流通</v>
      </c>
      <c r="BB168" s="159"/>
      <c r="BC168" s="160"/>
      <c r="BD168" s="157"/>
      <c r="BE168" s="157"/>
      <c r="BF168" s="157"/>
      <c r="BG168" s="157"/>
      <c r="BH168" s="157"/>
      <c r="BI168" s="157"/>
      <c r="BJ168" s="157" t="str">
        <f t="shared" si="205"/>
        <v>中马钦州产业园区管委6月</v>
      </c>
      <c r="BK168" s="157" t="s">
        <v>92</v>
      </c>
      <c r="BL168" s="157" t="s">
        <v>93</v>
      </c>
      <c r="BM168" s="201" t="str">
        <f t="shared" si="206"/>
        <v>企业中马钦州产业园区管委</v>
      </c>
      <c r="BN168" s="201" t="str">
        <f t="shared" si="207"/>
        <v>产业中马钦州产业园区管委</v>
      </c>
      <c r="BO168" s="201">
        <f t="shared" si="208"/>
        <v>0</v>
      </c>
      <c r="BP168" s="157"/>
      <c r="BQ168" s="157">
        <f t="shared" si="209"/>
        <v>1</v>
      </c>
      <c r="BR168" s="157">
        <f t="shared" si="210"/>
        <v>0</v>
      </c>
      <c r="BS168" s="157">
        <f t="shared" si="211"/>
        <v>0</v>
      </c>
      <c r="BT168" s="157">
        <f t="shared" si="212"/>
        <v>0</v>
      </c>
      <c r="BU168" s="157">
        <f t="shared" si="213"/>
        <v>1</v>
      </c>
      <c r="BV168" s="157"/>
      <c r="BW168" s="206"/>
      <c r="BY168" s="4"/>
      <c r="BZ168" s="7" t="s">
        <v>1890</v>
      </c>
      <c r="CA168" s="4"/>
      <c r="CB168" s="4"/>
      <c r="CC168" s="4"/>
    </row>
    <row r="169" s="6" customFormat="1" ht="63" customHeight="1" spans="1:79">
      <c r="A169" s="23">
        <f>SUBTOTAL(3,C$10:C169)</f>
        <v>132</v>
      </c>
      <c r="B169" s="55" t="s">
        <v>506</v>
      </c>
      <c r="C169" s="35" t="s">
        <v>79</v>
      </c>
      <c r="D169" s="55" t="s">
        <v>507</v>
      </c>
      <c r="E169" s="35" t="s">
        <v>81</v>
      </c>
      <c r="F169" s="36">
        <v>150000</v>
      </c>
      <c r="G169" s="36"/>
      <c r="H169" s="81" t="s">
        <v>283</v>
      </c>
      <c r="I169" s="81"/>
      <c r="J169" s="81"/>
      <c r="K169" s="81"/>
      <c r="L169" s="36">
        <v>3000</v>
      </c>
      <c r="M169" s="36"/>
      <c r="N169" s="112" t="s">
        <v>508</v>
      </c>
      <c r="O169" s="56"/>
      <c r="P169" s="127"/>
      <c r="Q169" s="115" t="s">
        <v>115</v>
      </c>
      <c r="R169" s="115" t="s">
        <v>115</v>
      </c>
      <c r="S169" s="115" t="s">
        <v>115</v>
      </c>
      <c r="T169" s="115"/>
      <c r="U169" s="115" t="s">
        <v>115</v>
      </c>
      <c r="V169" s="115"/>
      <c r="W169" s="115"/>
      <c r="X169" s="90" t="s">
        <v>265</v>
      </c>
      <c r="Y169" s="90" t="s">
        <v>2114</v>
      </c>
      <c r="Z169" s="132">
        <v>800</v>
      </c>
      <c r="AA169" s="132"/>
      <c r="AB169" s="132">
        <v>800</v>
      </c>
      <c r="AC169" s="132">
        <v>300.6</v>
      </c>
      <c r="AD169" s="132">
        <v>300.6</v>
      </c>
      <c r="AE169" s="132"/>
      <c r="AF169" s="132"/>
      <c r="AG169" s="132"/>
      <c r="AH169" s="132"/>
      <c r="AI169" s="132">
        <v>750</v>
      </c>
      <c r="AJ169" s="132">
        <v>108</v>
      </c>
      <c r="AK169" s="132">
        <v>642</v>
      </c>
      <c r="AL169" s="132"/>
      <c r="AM169" s="132"/>
      <c r="AN169" s="132"/>
      <c r="AO169" s="132"/>
      <c r="AP169" s="132"/>
      <c r="AQ169" s="90"/>
      <c r="AR169" s="112" t="s">
        <v>509</v>
      </c>
      <c r="AS169" s="34" t="s">
        <v>510</v>
      </c>
      <c r="AT169" s="35" t="s">
        <v>2115</v>
      </c>
      <c r="AU169" s="35" t="s">
        <v>269</v>
      </c>
      <c r="AV169" s="93"/>
      <c r="AW169" s="157"/>
      <c r="AX169" s="158" t="s">
        <v>2110</v>
      </c>
      <c r="AY169" s="158" t="s">
        <v>459</v>
      </c>
      <c r="AZ169" s="158" t="str">
        <f t="shared" si="203"/>
        <v>服务业商贸流通</v>
      </c>
      <c r="BA169" s="158" t="str">
        <f t="shared" si="204"/>
        <v>商贸流通</v>
      </c>
      <c r="BB169" s="167"/>
      <c r="BC169" s="160"/>
      <c r="BD169" s="157"/>
      <c r="BE169" s="157"/>
      <c r="BF169" s="157"/>
      <c r="BG169" s="157"/>
      <c r="BH169" s="157"/>
      <c r="BI169" s="157"/>
      <c r="BJ169" s="157" t="str">
        <f t="shared" si="205"/>
        <v>灵山县人民政府11月</v>
      </c>
      <c r="BK169" s="157" t="s">
        <v>92</v>
      </c>
      <c r="BL169" s="157" t="s">
        <v>93</v>
      </c>
      <c r="BM169" s="201" t="str">
        <f t="shared" si="206"/>
        <v>企业灵山县人民政府</v>
      </c>
      <c r="BN169" s="201" t="str">
        <f t="shared" si="207"/>
        <v>产业灵山县人民政府</v>
      </c>
      <c r="BO169" s="201">
        <f t="shared" si="208"/>
        <v>0</v>
      </c>
      <c r="BP169" s="157"/>
      <c r="BQ169" s="157">
        <f t="shared" si="209"/>
        <v>1</v>
      </c>
      <c r="BR169" s="157">
        <f t="shared" si="210"/>
        <v>0</v>
      </c>
      <c r="BS169" s="157">
        <f t="shared" si="211"/>
        <v>1</v>
      </c>
      <c r="BT169" s="157">
        <f t="shared" si="212"/>
        <v>1</v>
      </c>
      <c r="BU169" s="157">
        <f t="shared" si="213"/>
        <v>0</v>
      </c>
      <c r="BV169" s="157"/>
      <c r="BW169" s="206"/>
      <c r="BX169" s="6" t="s">
        <v>1895</v>
      </c>
      <c r="BZ169" s="7" t="s">
        <v>1890</v>
      </c>
      <c r="CA169" s="229"/>
    </row>
    <row r="170" s="6" customFormat="1" ht="72" customHeight="1" spans="1:79">
      <c r="A170" s="23">
        <f>SUBTOTAL(3,C$10:C170)</f>
        <v>133</v>
      </c>
      <c r="B170" s="55" t="s">
        <v>511</v>
      </c>
      <c r="C170" s="35" t="s">
        <v>79</v>
      </c>
      <c r="D170" s="55" t="s">
        <v>512</v>
      </c>
      <c r="E170" s="35" t="s">
        <v>112</v>
      </c>
      <c r="F170" s="36">
        <v>50000</v>
      </c>
      <c r="G170" s="36"/>
      <c r="H170" s="81" t="s">
        <v>244</v>
      </c>
      <c r="I170" s="37">
        <v>2000</v>
      </c>
      <c r="J170" s="37">
        <v>4000</v>
      </c>
      <c r="K170" s="37">
        <v>9000</v>
      </c>
      <c r="L170" s="36">
        <v>10000</v>
      </c>
      <c r="M170" s="36"/>
      <c r="N170" s="112" t="s">
        <v>513</v>
      </c>
      <c r="O170" s="56"/>
      <c r="P170" s="127"/>
      <c r="Q170" s="115" t="s">
        <v>115</v>
      </c>
      <c r="R170" s="115" t="s">
        <v>115</v>
      </c>
      <c r="S170" s="115" t="s">
        <v>115</v>
      </c>
      <c r="T170" s="115" t="s">
        <v>115</v>
      </c>
      <c r="U170" s="115" t="s">
        <v>115</v>
      </c>
      <c r="V170" s="115" t="s">
        <v>115</v>
      </c>
      <c r="W170" s="115"/>
      <c r="X170" s="90" t="s">
        <v>514</v>
      </c>
      <c r="Y170" s="90" t="s">
        <v>117</v>
      </c>
      <c r="Z170" s="132"/>
      <c r="AA170" s="132"/>
      <c r="AB170" s="132"/>
      <c r="AC170" s="132"/>
      <c r="AD170" s="132"/>
      <c r="AE170" s="132"/>
      <c r="AF170" s="132"/>
      <c r="AG170" s="132"/>
      <c r="AH170" s="132"/>
      <c r="AI170" s="132">
        <v>300</v>
      </c>
      <c r="AJ170" s="132">
        <v>300</v>
      </c>
      <c r="AK170" s="132"/>
      <c r="AL170" s="132"/>
      <c r="AM170" s="132"/>
      <c r="AN170" s="132"/>
      <c r="AO170" s="132"/>
      <c r="AP170" s="132"/>
      <c r="AQ170" s="90"/>
      <c r="AR170" s="112" t="s">
        <v>117</v>
      </c>
      <c r="AS170" s="34" t="s">
        <v>515</v>
      </c>
      <c r="AT170" s="35" t="s">
        <v>2116</v>
      </c>
      <c r="AU170" s="35" t="s">
        <v>269</v>
      </c>
      <c r="AV170" s="171"/>
      <c r="AW170" s="157"/>
      <c r="AX170" s="158" t="s">
        <v>2110</v>
      </c>
      <c r="AY170" s="158" t="s">
        <v>459</v>
      </c>
      <c r="AZ170" s="158" t="str">
        <f t="shared" si="203"/>
        <v>服务业商贸流通</v>
      </c>
      <c r="BA170" s="158" t="str">
        <f t="shared" si="204"/>
        <v>商贸流通</v>
      </c>
      <c r="BB170" s="167"/>
      <c r="BC170" s="160"/>
      <c r="BD170" s="157"/>
      <c r="BE170" s="157"/>
      <c r="BF170" s="157"/>
      <c r="BG170" s="157"/>
      <c r="BH170" s="157"/>
      <c r="BI170" s="157"/>
      <c r="BJ170" s="157" t="str">
        <f t="shared" si="205"/>
        <v>灵山县人民政府1月</v>
      </c>
      <c r="BK170" s="157" t="s">
        <v>92</v>
      </c>
      <c r="BL170" s="157" t="s">
        <v>93</v>
      </c>
      <c r="BM170" s="201" t="str">
        <f t="shared" si="206"/>
        <v>企业灵山县人民政府</v>
      </c>
      <c r="BN170" s="201" t="str">
        <f t="shared" si="207"/>
        <v>产业灵山县人民政府</v>
      </c>
      <c r="BO170" s="201">
        <f t="shared" si="208"/>
        <v>0</v>
      </c>
      <c r="BP170" s="157"/>
      <c r="BQ170" s="157">
        <f t="shared" si="209"/>
        <v>0</v>
      </c>
      <c r="BR170" s="157">
        <f t="shared" si="210"/>
        <v>0</v>
      </c>
      <c r="BS170" s="157">
        <f t="shared" si="211"/>
        <v>0</v>
      </c>
      <c r="BT170" s="157">
        <f t="shared" si="212"/>
        <v>1</v>
      </c>
      <c r="BU170" s="157">
        <f t="shared" si="213"/>
        <v>0</v>
      </c>
      <c r="BV170" s="157"/>
      <c r="BW170" s="206"/>
      <c r="BX170" s="6" t="s">
        <v>1895</v>
      </c>
      <c r="BZ170" s="228"/>
      <c r="CA170" s="229"/>
    </row>
    <row r="171" s="6" customFormat="1" ht="79.5" customHeight="1" spans="1:75">
      <c r="A171" s="23">
        <f>SUBTOTAL(3,C$10:C171)</f>
        <v>134</v>
      </c>
      <c r="B171" s="55" t="s">
        <v>516</v>
      </c>
      <c r="C171" s="35" t="s">
        <v>79</v>
      </c>
      <c r="D171" s="55" t="s">
        <v>517</v>
      </c>
      <c r="E171" s="35" t="s">
        <v>112</v>
      </c>
      <c r="F171" s="35">
        <v>20000</v>
      </c>
      <c r="G171" s="35"/>
      <c r="H171" s="81" t="s">
        <v>283</v>
      </c>
      <c r="I171" s="81"/>
      <c r="J171" s="81"/>
      <c r="K171" s="81"/>
      <c r="L171" s="36">
        <v>3000</v>
      </c>
      <c r="M171" s="36"/>
      <c r="N171" s="112" t="s">
        <v>518</v>
      </c>
      <c r="O171" s="56"/>
      <c r="P171" s="36"/>
      <c r="Q171" s="115" t="s">
        <v>115</v>
      </c>
      <c r="R171" s="115" t="s">
        <v>115</v>
      </c>
      <c r="S171" s="115"/>
      <c r="T171" s="115" t="s">
        <v>115</v>
      </c>
      <c r="U171" s="115" t="s">
        <v>115</v>
      </c>
      <c r="V171" s="115" t="s">
        <v>115</v>
      </c>
      <c r="W171" s="115"/>
      <c r="X171" s="55" t="s">
        <v>519</v>
      </c>
      <c r="Y171" s="55" t="s">
        <v>520</v>
      </c>
      <c r="Z171" s="132"/>
      <c r="AA171" s="132"/>
      <c r="AB171" s="132"/>
      <c r="AC171" s="132"/>
      <c r="AD171" s="132"/>
      <c r="AE171" s="132"/>
      <c r="AF171" s="132"/>
      <c r="AG171" s="132"/>
      <c r="AH171" s="132"/>
      <c r="AI171" s="132">
        <v>150</v>
      </c>
      <c r="AJ171" s="132"/>
      <c r="AK171" s="132">
        <v>150</v>
      </c>
      <c r="AL171" s="132"/>
      <c r="AM171" s="132"/>
      <c r="AN171" s="132"/>
      <c r="AO171" s="132"/>
      <c r="AP171" s="132"/>
      <c r="AQ171" s="90"/>
      <c r="AR171" s="112" t="s">
        <v>117</v>
      </c>
      <c r="AS171" s="34" t="s">
        <v>285</v>
      </c>
      <c r="AT171" s="35" t="s">
        <v>2117</v>
      </c>
      <c r="AU171" s="35" t="s">
        <v>269</v>
      </c>
      <c r="AV171" s="171"/>
      <c r="AW171" s="157"/>
      <c r="AX171" s="158" t="s">
        <v>2110</v>
      </c>
      <c r="AY171" s="158" t="s">
        <v>459</v>
      </c>
      <c r="AZ171" s="158" t="str">
        <f t="shared" si="203"/>
        <v>服务业商贸流通</v>
      </c>
      <c r="BA171" s="158" t="str">
        <f t="shared" si="204"/>
        <v>商贸流通</v>
      </c>
      <c r="BB171" s="167"/>
      <c r="BC171" s="160"/>
      <c r="BD171" s="157"/>
      <c r="BE171" s="157"/>
      <c r="BF171" s="157"/>
      <c r="BG171" s="157"/>
      <c r="BH171" s="157"/>
      <c r="BI171" s="157"/>
      <c r="BJ171" s="157" t="str">
        <f t="shared" si="205"/>
        <v>灵山县人民政府11月</v>
      </c>
      <c r="BK171" s="157" t="s">
        <v>92</v>
      </c>
      <c r="BL171" s="157" t="s">
        <v>93</v>
      </c>
      <c r="BM171" s="201" t="str">
        <f t="shared" si="206"/>
        <v>企业灵山县人民政府</v>
      </c>
      <c r="BN171" s="201" t="str">
        <f t="shared" si="207"/>
        <v>产业灵山县人民政府</v>
      </c>
      <c r="BO171" s="201">
        <f t="shared" si="208"/>
        <v>0</v>
      </c>
      <c r="BP171" s="157"/>
      <c r="BQ171" s="157">
        <f t="shared" si="209"/>
        <v>0</v>
      </c>
      <c r="BR171" s="157">
        <f t="shared" si="210"/>
        <v>0</v>
      </c>
      <c r="BS171" s="157">
        <f t="shared" si="211"/>
        <v>0</v>
      </c>
      <c r="BT171" s="157">
        <f t="shared" si="212"/>
        <v>1</v>
      </c>
      <c r="BU171" s="157">
        <f t="shared" si="213"/>
        <v>0</v>
      </c>
      <c r="BV171" s="157"/>
      <c r="BW171" s="206"/>
    </row>
    <row r="172" ht="72" customHeight="1" spans="1:81">
      <c r="A172" s="23">
        <f>SUBTOTAL(3,C$10:C172)</f>
        <v>135</v>
      </c>
      <c r="B172" s="55" t="s">
        <v>529</v>
      </c>
      <c r="C172" s="35" t="s">
        <v>79</v>
      </c>
      <c r="D172" s="231" t="s">
        <v>530</v>
      </c>
      <c r="E172" s="35" t="s">
        <v>112</v>
      </c>
      <c r="F172" s="35">
        <v>13000</v>
      </c>
      <c r="G172" s="35"/>
      <c r="H172" s="83" t="s">
        <v>263</v>
      </c>
      <c r="I172" s="83"/>
      <c r="J172" s="83"/>
      <c r="K172" s="578">
        <v>500</v>
      </c>
      <c r="L172" s="35">
        <v>3000</v>
      </c>
      <c r="M172" s="35"/>
      <c r="N172" s="34" t="s">
        <v>531</v>
      </c>
      <c r="O172" s="111"/>
      <c r="P172" s="67"/>
      <c r="Q172" s="115"/>
      <c r="R172" s="115"/>
      <c r="S172" s="115"/>
      <c r="T172" s="115"/>
      <c r="U172" s="115"/>
      <c r="V172" s="115"/>
      <c r="W172" s="115"/>
      <c r="X172" s="55" t="s">
        <v>532</v>
      </c>
      <c r="Y172" s="90" t="s">
        <v>533</v>
      </c>
      <c r="Z172" s="132"/>
      <c r="AA172" s="132"/>
      <c r="AB172" s="132"/>
      <c r="AC172" s="132"/>
      <c r="AD172" s="132"/>
      <c r="AE172" s="132"/>
      <c r="AF172" s="132"/>
      <c r="AG172" s="132"/>
      <c r="AH172" s="132"/>
      <c r="AI172" s="132"/>
      <c r="AJ172" s="132"/>
      <c r="AK172" s="132"/>
      <c r="AL172" s="132"/>
      <c r="AM172" s="132"/>
      <c r="AN172" s="132"/>
      <c r="AO172" s="132"/>
      <c r="AP172" s="132"/>
      <c r="AQ172" s="90"/>
      <c r="AR172" s="112" t="s">
        <v>117</v>
      </c>
      <c r="AS172" s="647" t="s">
        <v>534</v>
      </c>
      <c r="AT172" s="35" t="s">
        <v>2118</v>
      </c>
      <c r="AU172" s="35" t="s">
        <v>317</v>
      </c>
      <c r="AV172" s="93"/>
      <c r="AW172" s="157"/>
      <c r="AX172" s="158" t="s">
        <v>2110</v>
      </c>
      <c r="AY172" s="158" t="s">
        <v>459</v>
      </c>
      <c r="AZ172" s="158" t="str">
        <f t="shared" si="203"/>
        <v>服务业商贸流通</v>
      </c>
      <c r="BA172" s="158" t="str">
        <f t="shared" si="204"/>
        <v>商贸流通</v>
      </c>
      <c r="BB172" s="159"/>
      <c r="BC172" s="160"/>
      <c r="BD172" s="157"/>
      <c r="BE172" s="157"/>
      <c r="BF172" s="157"/>
      <c r="BG172" s="157"/>
      <c r="BH172" s="157"/>
      <c r="BI172" s="181"/>
      <c r="BJ172" s="157" t="str">
        <f t="shared" si="205"/>
        <v>浦北县人民政府7月</v>
      </c>
      <c r="BK172" s="157" t="s">
        <v>92</v>
      </c>
      <c r="BL172" s="157" t="s">
        <v>93</v>
      </c>
      <c r="BM172" s="201" t="str">
        <f t="shared" si="206"/>
        <v>企业浦北县人民政府</v>
      </c>
      <c r="BN172" s="201" t="str">
        <f t="shared" si="207"/>
        <v>产业浦北县人民政府</v>
      </c>
      <c r="BO172" s="201">
        <f t="shared" si="208"/>
        <v>0</v>
      </c>
      <c r="BP172" s="157"/>
      <c r="BQ172" s="157">
        <f t="shared" si="209"/>
        <v>0</v>
      </c>
      <c r="BR172" s="157">
        <f t="shared" si="210"/>
        <v>0</v>
      </c>
      <c r="BS172" s="157">
        <f t="shared" si="211"/>
        <v>0</v>
      </c>
      <c r="BT172" s="157">
        <f t="shared" si="212"/>
        <v>0</v>
      </c>
      <c r="BU172" s="157">
        <f t="shared" si="213"/>
        <v>0</v>
      </c>
      <c r="BV172" s="181"/>
      <c r="BW172" s="206"/>
      <c r="BY172" s="4"/>
      <c r="BZ172" s="4"/>
      <c r="CA172" s="4"/>
      <c r="CB172" s="4"/>
      <c r="CC172" s="4"/>
    </row>
    <row r="173" s="9" customFormat="1" ht="18" customHeight="1" spans="1:74">
      <c r="A173" s="551"/>
      <c r="B173" s="557" t="str">
        <f>"旅游（"&amp;SUBTOTAL(3,C174:C183)&amp;"个）"</f>
        <v>旅游（10个）</v>
      </c>
      <c r="C173" s="551"/>
      <c r="D173" s="554"/>
      <c r="E173" s="551"/>
      <c r="F173" s="134">
        <f t="shared" ref="F173:M173" si="214">SUBTOTAL(9,F174:F183)</f>
        <v>889851.22</v>
      </c>
      <c r="G173" s="134"/>
      <c r="H173" s="134"/>
      <c r="I173" s="134">
        <f t="shared" si="214"/>
        <v>1160</v>
      </c>
      <c r="J173" s="134">
        <f t="shared" si="214"/>
        <v>4750</v>
      </c>
      <c r="K173" s="134">
        <f t="shared" si="214"/>
        <v>26380</v>
      </c>
      <c r="L173" s="134">
        <f t="shared" si="214"/>
        <v>59000</v>
      </c>
      <c r="M173" s="134">
        <f t="shared" si="214"/>
        <v>0</v>
      </c>
      <c r="N173" s="591"/>
      <c r="O173" s="134"/>
      <c r="P173" s="118"/>
      <c r="Q173" s="115"/>
      <c r="R173" s="115"/>
      <c r="S173" s="115"/>
      <c r="T173" s="115"/>
      <c r="U173" s="115"/>
      <c r="V173" s="115"/>
      <c r="W173" s="115"/>
      <c r="X173" s="90"/>
      <c r="Y173" s="90"/>
      <c r="Z173" s="132"/>
      <c r="AA173" s="132"/>
      <c r="AB173" s="132"/>
      <c r="AC173" s="132"/>
      <c r="AD173" s="132"/>
      <c r="AE173" s="132"/>
      <c r="AF173" s="132"/>
      <c r="AG173" s="132"/>
      <c r="AH173" s="132"/>
      <c r="AI173" s="132"/>
      <c r="AJ173" s="132"/>
      <c r="AK173" s="132"/>
      <c r="AL173" s="132"/>
      <c r="AM173" s="132"/>
      <c r="AN173" s="132"/>
      <c r="AO173" s="132"/>
      <c r="AP173" s="132"/>
      <c r="AQ173" s="90"/>
      <c r="AR173" s="112"/>
      <c r="AS173" s="591"/>
      <c r="AT173" s="134"/>
      <c r="AU173" s="134"/>
      <c r="AV173" s="93"/>
      <c r="AW173" s="165"/>
      <c r="AX173" s="158"/>
      <c r="AY173" s="158"/>
      <c r="AZ173" s="158"/>
      <c r="BA173" s="158"/>
      <c r="BB173" s="169"/>
      <c r="BC173" s="165"/>
      <c r="BD173" s="165"/>
      <c r="BE173" s="165"/>
      <c r="BF173" s="169"/>
      <c r="BG173" s="169"/>
      <c r="BH173" s="169"/>
      <c r="BI173" s="183"/>
      <c r="BJ173" s="165"/>
      <c r="BK173" s="157"/>
      <c r="BL173" s="157"/>
      <c r="BN173" s="201"/>
      <c r="BO173" s="7"/>
      <c r="BP173" s="157"/>
      <c r="BQ173" s="157"/>
      <c r="BR173" s="157"/>
      <c r="BS173" s="157"/>
      <c r="BT173" s="157"/>
      <c r="BU173" s="157"/>
      <c r="BV173" s="183"/>
    </row>
    <row r="174" ht="75.75" customHeight="1" spans="1:81">
      <c r="A174" s="23">
        <f>SUBTOTAL(3,C$10:C174)</f>
        <v>136</v>
      </c>
      <c r="B174" s="55" t="s">
        <v>483</v>
      </c>
      <c r="C174" s="35" t="s">
        <v>79</v>
      </c>
      <c r="D174" s="55" t="s">
        <v>2119</v>
      </c>
      <c r="E174" s="35" t="s">
        <v>81</v>
      </c>
      <c r="F174" s="38">
        <v>88000</v>
      </c>
      <c r="G174" s="38"/>
      <c r="H174" s="81" t="s">
        <v>353</v>
      </c>
      <c r="I174" s="37">
        <v>500</v>
      </c>
      <c r="J174" s="37">
        <v>2000</v>
      </c>
      <c r="K174" s="37">
        <v>5000</v>
      </c>
      <c r="L174" s="38">
        <v>10000</v>
      </c>
      <c r="M174" s="38"/>
      <c r="N174" s="34" t="s">
        <v>485</v>
      </c>
      <c r="O174" s="111"/>
      <c r="P174" s="67"/>
      <c r="Q174" s="134" t="s">
        <v>115</v>
      </c>
      <c r="R174" s="134" t="s">
        <v>115</v>
      </c>
      <c r="S174" s="115"/>
      <c r="T174" s="115"/>
      <c r="U174" s="115"/>
      <c r="V174" s="115"/>
      <c r="W174" s="115"/>
      <c r="X174" s="90" t="s">
        <v>486</v>
      </c>
      <c r="Y174" s="90" t="s">
        <v>487</v>
      </c>
      <c r="Z174" s="132">
        <v>120</v>
      </c>
      <c r="AA174" s="132">
        <v>40</v>
      </c>
      <c r="AB174" s="132">
        <v>80</v>
      </c>
      <c r="AC174" s="132">
        <v>25</v>
      </c>
      <c r="AD174" s="132"/>
      <c r="AE174" s="132">
        <v>25</v>
      </c>
      <c r="AF174" s="132"/>
      <c r="AG174" s="132"/>
      <c r="AH174" s="132"/>
      <c r="AI174" s="132">
        <v>80</v>
      </c>
      <c r="AJ174" s="132"/>
      <c r="AK174" s="132">
        <v>80</v>
      </c>
      <c r="AL174" s="132"/>
      <c r="AM174" s="132"/>
      <c r="AN174" s="132"/>
      <c r="AO174" s="132"/>
      <c r="AP174" s="132"/>
      <c r="AQ174" s="90"/>
      <c r="AR174" s="112" t="s">
        <v>488</v>
      </c>
      <c r="AS174" s="34" t="s">
        <v>489</v>
      </c>
      <c r="AT174" s="35" t="s">
        <v>2120</v>
      </c>
      <c r="AU174" s="35" t="s">
        <v>490</v>
      </c>
      <c r="AV174" s="93"/>
      <c r="AW174" s="157"/>
      <c r="AX174" s="158" t="s">
        <v>2121</v>
      </c>
      <c r="AY174" s="158" t="s">
        <v>459</v>
      </c>
      <c r="AZ174" s="158" t="str">
        <f t="shared" ref="AZ174:AZ183" si="215">AY174&amp;AX174</f>
        <v>服务业旅游</v>
      </c>
      <c r="BA174" s="158" t="s">
        <v>2051</v>
      </c>
      <c r="BB174" s="159"/>
      <c r="BC174" s="160"/>
      <c r="BD174" s="157"/>
      <c r="BE174" s="157"/>
      <c r="BF174" s="157"/>
      <c r="BG174" s="157"/>
      <c r="BH174" s="157"/>
      <c r="BI174" s="181"/>
      <c r="BJ174" s="157" t="str">
        <f t="shared" ref="BJ174:BJ183" si="216">AU174&amp;H174</f>
        <v>三娘湾管理区管委2月</v>
      </c>
      <c r="BK174" s="157" t="s">
        <v>92</v>
      </c>
      <c r="BL174" s="157" t="s">
        <v>93</v>
      </c>
      <c r="BM174" s="201" t="str">
        <f t="shared" ref="BM174:BM183" si="217">BK174&amp;AU174</f>
        <v>企业三娘湾管理区管委</v>
      </c>
      <c r="BN174" s="201" t="str">
        <f t="shared" ref="BN174:BN183" si="218">BL174&amp;AU174</f>
        <v>产业三娘湾管理区管委</v>
      </c>
      <c r="BO174" s="201">
        <f t="shared" ref="BO174:BO183" si="219">IF(O174&gt;0,1,0)</f>
        <v>0</v>
      </c>
      <c r="BP174" s="157"/>
      <c r="BQ174" s="157">
        <f t="shared" ref="BQ174:BQ183" si="220">IF(Z174&gt;0,1,0)</f>
        <v>1</v>
      </c>
      <c r="BR174" s="157">
        <f t="shared" ref="BR174:BR183" si="221">IF(AF174&gt;0,1,0)</f>
        <v>0</v>
      </c>
      <c r="BS174" s="157">
        <f t="shared" ref="BS174:BS183" si="222">IF(AC174&gt;0,1,0)</f>
        <v>1</v>
      </c>
      <c r="BT174" s="157">
        <f t="shared" ref="BT174:BT183" si="223">IF(AI174&gt;0,1,0)</f>
        <v>1</v>
      </c>
      <c r="BU174" s="157">
        <f t="shared" ref="BU174:BU183" si="224">IF(AL174&gt;0,1,0)</f>
        <v>0</v>
      </c>
      <c r="BV174" s="181"/>
      <c r="BW174" s="206"/>
      <c r="BY174" s="4"/>
      <c r="BZ174" s="4"/>
      <c r="CA174" s="4"/>
      <c r="CB174" s="4"/>
      <c r="CC174" s="4"/>
    </row>
    <row r="175" ht="68.25" customHeight="1" spans="1:81">
      <c r="A175" s="23">
        <f>SUBTOTAL(3,C$10:C175)</f>
        <v>137</v>
      </c>
      <c r="B175" s="55" t="s">
        <v>492</v>
      </c>
      <c r="C175" s="55" t="s">
        <v>79</v>
      </c>
      <c r="D175" s="55" t="s">
        <v>493</v>
      </c>
      <c r="E175" s="55" t="s">
        <v>112</v>
      </c>
      <c r="F175" s="35">
        <v>10400</v>
      </c>
      <c r="G175" s="35"/>
      <c r="H175" s="81" t="s">
        <v>131</v>
      </c>
      <c r="I175" s="81"/>
      <c r="J175" s="37">
        <v>200</v>
      </c>
      <c r="K175" s="37">
        <v>600</v>
      </c>
      <c r="L175" s="38">
        <v>1000</v>
      </c>
      <c r="M175" s="38"/>
      <c r="N175" s="34" t="s">
        <v>494</v>
      </c>
      <c r="O175" s="111"/>
      <c r="P175" s="67"/>
      <c r="Q175" s="115"/>
      <c r="R175" s="115"/>
      <c r="S175" s="115"/>
      <c r="T175" s="115"/>
      <c r="U175" s="115"/>
      <c r="V175" s="115"/>
      <c r="W175" s="115"/>
      <c r="X175" s="90" t="s">
        <v>132</v>
      </c>
      <c r="Y175" s="90" t="s">
        <v>495</v>
      </c>
      <c r="Z175" s="132"/>
      <c r="AA175" s="132"/>
      <c r="AB175" s="132"/>
      <c r="AC175" s="132"/>
      <c r="AD175" s="132"/>
      <c r="AE175" s="132"/>
      <c r="AF175" s="132"/>
      <c r="AG175" s="132"/>
      <c r="AH175" s="132"/>
      <c r="AI175" s="132"/>
      <c r="AJ175" s="132"/>
      <c r="AK175" s="132"/>
      <c r="AL175" s="132"/>
      <c r="AM175" s="132"/>
      <c r="AN175" s="132"/>
      <c r="AO175" s="132"/>
      <c r="AP175" s="132"/>
      <c r="AQ175" s="90"/>
      <c r="AR175" s="112" t="s">
        <v>496</v>
      </c>
      <c r="AS175" s="34" t="s">
        <v>497</v>
      </c>
      <c r="AT175" s="35" t="s">
        <v>2122</v>
      </c>
      <c r="AU175" s="35" t="s">
        <v>498</v>
      </c>
      <c r="AV175" s="93"/>
      <c r="AW175" s="157"/>
      <c r="AX175" s="158" t="s">
        <v>2121</v>
      </c>
      <c r="AY175" s="158" t="s">
        <v>459</v>
      </c>
      <c r="AZ175" s="158" t="str">
        <f t="shared" si="215"/>
        <v>服务业旅游</v>
      </c>
      <c r="BA175" s="158" t="s">
        <v>2051</v>
      </c>
      <c r="BB175" s="159"/>
      <c r="BC175" s="160"/>
      <c r="BD175" s="157"/>
      <c r="BE175" s="157"/>
      <c r="BF175" s="157"/>
      <c r="BG175" s="157"/>
      <c r="BH175" s="157"/>
      <c r="BI175" s="181"/>
      <c r="BJ175" s="157" t="str">
        <f t="shared" si="216"/>
        <v>市滨海新城管委12月</v>
      </c>
      <c r="BK175" s="157" t="s">
        <v>92</v>
      </c>
      <c r="BL175" s="157" t="s">
        <v>93</v>
      </c>
      <c r="BM175" s="201" t="str">
        <f t="shared" si="217"/>
        <v>企业市滨海新城管委</v>
      </c>
      <c r="BN175" s="201" t="str">
        <f t="shared" si="218"/>
        <v>产业市滨海新城管委</v>
      </c>
      <c r="BO175" s="201">
        <f t="shared" si="219"/>
        <v>0</v>
      </c>
      <c r="BP175" s="157"/>
      <c r="BQ175" s="157">
        <f t="shared" si="220"/>
        <v>0</v>
      </c>
      <c r="BR175" s="157">
        <f t="shared" si="221"/>
        <v>0</v>
      </c>
      <c r="BS175" s="157">
        <f t="shared" si="222"/>
        <v>0</v>
      </c>
      <c r="BT175" s="157">
        <f t="shared" si="223"/>
        <v>0</v>
      </c>
      <c r="BU175" s="157">
        <f t="shared" si="224"/>
        <v>0</v>
      </c>
      <c r="BV175" s="181"/>
      <c r="BW175" s="206"/>
      <c r="BY175" s="4"/>
      <c r="BZ175" s="4"/>
      <c r="CA175" s="4"/>
      <c r="CB175" s="4"/>
      <c r="CC175" s="4"/>
    </row>
    <row r="176" ht="99" customHeight="1" spans="1:81">
      <c r="A176" s="23">
        <f>SUBTOTAL(3,C$10:C176)</f>
        <v>138</v>
      </c>
      <c r="B176" s="55" t="s">
        <v>500</v>
      </c>
      <c r="C176" s="55" t="s">
        <v>79</v>
      </c>
      <c r="D176" s="55" t="s">
        <v>501</v>
      </c>
      <c r="E176" s="55" t="s">
        <v>143</v>
      </c>
      <c r="F176" s="35">
        <v>300000</v>
      </c>
      <c r="G176" s="35"/>
      <c r="H176" s="81" t="s">
        <v>209</v>
      </c>
      <c r="I176" s="81"/>
      <c r="J176" s="81"/>
      <c r="K176" s="37">
        <v>5000</v>
      </c>
      <c r="L176" s="38">
        <v>10000</v>
      </c>
      <c r="M176" s="38"/>
      <c r="N176" s="34" t="s">
        <v>502</v>
      </c>
      <c r="O176" s="111"/>
      <c r="P176" s="67"/>
      <c r="Q176" s="730" t="s">
        <v>115</v>
      </c>
      <c r="R176" s="115"/>
      <c r="S176" s="115"/>
      <c r="T176" s="115"/>
      <c r="U176" s="115"/>
      <c r="V176" s="115"/>
      <c r="W176" s="115"/>
      <c r="X176" s="90" t="s">
        <v>265</v>
      </c>
      <c r="Y176" s="90" t="s">
        <v>117</v>
      </c>
      <c r="Z176" s="132">
        <v>200</v>
      </c>
      <c r="AA176" s="132">
        <v>0</v>
      </c>
      <c r="AB176" s="132">
        <v>200</v>
      </c>
      <c r="AC176" s="132"/>
      <c r="AD176" s="132"/>
      <c r="AE176" s="132"/>
      <c r="AF176" s="132"/>
      <c r="AG176" s="132"/>
      <c r="AH176" s="132"/>
      <c r="AI176" s="132">
        <v>200</v>
      </c>
      <c r="AJ176" s="132"/>
      <c r="AK176" s="132">
        <v>200</v>
      </c>
      <c r="AL176" s="811"/>
      <c r="AM176" s="811"/>
      <c r="AN176" s="811"/>
      <c r="AO176" s="132"/>
      <c r="AP176" s="132"/>
      <c r="AQ176" s="90"/>
      <c r="AR176" s="112" t="s">
        <v>117</v>
      </c>
      <c r="AS176" s="34" t="s">
        <v>503</v>
      </c>
      <c r="AT176" s="35" t="s">
        <v>2123</v>
      </c>
      <c r="AU176" s="81" t="s">
        <v>504</v>
      </c>
      <c r="AV176" s="93"/>
      <c r="AW176" s="157"/>
      <c r="AX176" s="158" t="s">
        <v>2121</v>
      </c>
      <c r="AY176" s="158" t="s">
        <v>459</v>
      </c>
      <c r="AZ176" s="158" t="str">
        <f t="shared" si="215"/>
        <v>服务业旅游</v>
      </c>
      <c r="BA176" s="158" t="s">
        <v>2051</v>
      </c>
      <c r="BB176" s="159"/>
      <c r="BC176" s="160"/>
      <c r="BD176" s="157"/>
      <c r="BE176" s="157"/>
      <c r="BF176" s="157"/>
      <c r="BG176" s="157"/>
      <c r="BH176" s="157"/>
      <c r="BI176" s="181"/>
      <c r="BJ176" s="157" t="str">
        <f t="shared" si="216"/>
        <v>北部湾华侨投资区管委8月</v>
      </c>
      <c r="BK176" s="157" t="s">
        <v>92</v>
      </c>
      <c r="BL176" s="157" t="s">
        <v>93</v>
      </c>
      <c r="BM176" s="201" t="str">
        <f t="shared" si="217"/>
        <v>企业北部湾华侨投资区管委</v>
      </c>
      <c r="BN176" s="201" t="str">
        <f t="shared" si="218"/>
        <v>产业北部湾华侨投资区管委</v>
      </c>
      <c r="BO176" s="201">
        <f t="shared" si="219"/>
        <v>0</v>
      </c>
      <c r="BP176" s="157"/>
      <c r="BQ176" s="157">
        <f t="shared" si="220"/>
        <v>1</v>
      </c>
      <c r="BR176" s="157">
        <f t="shared" si="221"/>
        <v>0</v>
      </c>
      <c r="BS176" s="157">
        <f t="shared" si="222"/>
        <v>0</v>
      </c>
      <c r="BT176" s="157">
        <f t="shared" si="223"/>
        <v>1</v>
      </c>
      <c r="BU176" s="157">
        <f t="shared" si="224"/>
        <v>0</v>
      </c>
      <c r="BV176" s="181"/>
      <c r="BW176" s="206"/>
      <c r="BY176" s="4"/>
      <c r="BZ176" s="7" t="s">
        <v>1890</v>
      </c>
      <c r="CA176" s="4"/>
      <c r="CB176" s="4"/>
      <c r="CC176" s="4"/>
    </row>
    <row r="177" ht="69.75" customHeight="1" spans="1:81">
      <c r="A177" s="23">
        <f>SUBTOTAL(3,C$10:C177)</f>
        <v>139</v>
      </c>
      <c r="B177" s="60" t="s">
        <v>535</v>
      </c>
      <c r="C177" s="23" t="s">
        <v>79</v>
      </c>
      <c r="D177" s="88" t="s">
        <v>536</v>
      </c>
      <c r="E177" s="23" t="s">
        <v>81</v>
      </c>
      <c r="F177" s="67">
        <v>100000</v>
      </c>
      <c r="G177" s="67"/>
      <c r="H177" s="67" t="s">
        <v>177</v>
      </c>
      <c r="I177" s="67"/>
      <c r="J177" s="67">
        <v>1000</v>
      </c>
      <c r="K177" s="67">
        <v>5000</v>
      </c>
      <c r="L177" s="67">
        <v>8000</v>
      </c>
      <c r="M177" s="67"/>
      <c r="N177" s="67" t="s">
        <v>537</v>
      </c>
      <c r="O177" s="111"/>
      <c r="P177" s="118"/>
      <c r="Q177" s="730" t="s">
        <v>115</v>
      </c>
      <c r="R177" s="730" t="s">
        <v>115</v>
      </c>
      <c r="S177" s="730" t="s">
        <v>115</v>
      </c>
      <c r="T177" s="769"/>
      <c r="U177" s="115"/>
      <c r="V177" s="115"/>
      <c r="W177" s="115"/>
      <c r="X177" s="90" t="s">
        <v>538</v>
      </c>
      <c r="Y177" s="90" t="s">
        <v>117</v>
      </c>
      <c r="Z177" s="132"/>
      <c r="AA177" s="132"/>
      <c r="AB177" s="132"/>
      <c r="AC177" s="132"/>
      <c r="AD177" s="132"/>
      <c r="AE177" s="132"/>
      <c r="AF177" s="132"/>
      <c r="AG177" s="132"/>
      <c r="AH177" s="132"/>
      <c r="AI177" s="132"/>
      <c r="AJ177" s="132"/>
      <c r="AK177" s="132"/>
      <c r="AL177" s="132"/>
      <c r="AM177" s="132"/>
      <c r="AN177" s="132"/>
      <c r="AO177" s="132"/>
      <c r="AP177" s="132"/>
      <c r="AQ177" s="90"/>
      <c r="AR177" s="112" t="s">
        <v>539</v>
      </c>
      <c r="AS177" s="123" t="s">
        <v>540</v>
      </c>
      <c r="AT177" s="67" t="s">
        <v>2124</v>
      </c>
      <c r="AU177" s="35" t="s">
        <v>359</v>
      </c>
      <c r="AV177" s="93"/>
      <c r="AW177" s="157"/>
      <c r="AX177" s="158" t="s">
        <v>2121</v>
      </c>
      <c r="AY177" s="158" t="s">
        <v>459</v>
      </c>
      <c r="AZ177" s="158" t="str">
        <f t="shared" si="215"/>
        <v>服务业旅游</v>
      </c>
      <c r="BA177" s="158" t="s">
        <v>2051</v>
      </c>
      <c r="BB177" s="161"/>
      <c r="BC177" s="160"/>
      <c r="BD177" s="157"/>
      <c r="BE177" s="157"/>
      <c r="BF177" s="157"/>
      <c r="BG177" s="157"/>
      <c r="BH177" s="157"/>
      <c r="BI177" s="181"/>
      <c r="BJ177" s="157" t="str">
        <f t="shared" si="216"/>
        <v>钦南区人民政府4月</v>
      </c>
      <c r="BK177" s="157" t="s">
        <v>92</v>
      </c>
      <c r="BL177" s="157" t="s">
        <v>93</v>
      </c>
      <c r="BM177" s="201" t="str">
        <f t="shared" si="217"/>
        <v>企业钦南区人民政府</v>
      </c>
      <c r="BN177" s="201" t="str">
        <f t="shared" si="218"/>
        <v>产业钦南区人民政府</v>
      </c>
      <c r="BO177" s="201">
        <f t="shared" si="219"/>
        <v>0</v>
      </c>
      <c r="BP177" s="157"/>
      <c r="BQ177" s="157">
        <f t="shared" si="220"/>
        <v>0</v>
      </c>
      <c r="BR177" s="157">
        <f t="shared" si="221"/>
        <v>0</v>
      </c>
      <c r="BS177" s="157">
        <f t="shared" si="222"/>
        <v>0</v>
      </c>
      <c r="BT177" s="157">
        <f t="shared" si="223"/>
        <v>0</v>
      </c>
      <c r="BU177" s="157">
        <f t="shared" si="224"/>
        <v>0</v>
      </c>
      <c r="BV177" s="181"/>
      <c r="BW177" s="206"/>
      <c r="BX177" s="4" t="s">
        <v>1917</v>
      </c>
      <c r="BY177" s="4"/>
      <c r="BZ177" s="4"/>
      <c r="CA177" s="4"/>
      <c r="CB177" s="4"/>
      <c r="CC177" s="4"/>
    </row>
    <row r="178" ht="69.75" customHeight="1" spans="1:81">
      <c r="A178" s="23">
        <f>SUBTOTAL(3,C$10:C178)</f>
        <v>140</v>
      </c>
      <c r="B178" s="60" t="s">
        <v>541</v>
      </c>
      <c r="C178" s="23" t="s">
        <v>79</v>
      </c>
      <c r="D178" s="88" t="s">
        <v>542</v>
      </c>
      <c r="E178" s="23" t="s">
        <v>112</v>
      </c>
      <c r="F178" s="67">
        <v>7000</v>
      </c>
      <c r="G178" s="67"/>
      <c r="H178" s="67" t="s">
        <v>195</v>
      </c>
      <c r="I178" s="67">
        <v>160</v>
      </c>
      <c r="J178" s="67">
        <v>550</v>
      </c>
      <c r="K178" s="67">
        <v>780</v>
      </c>
      <c r="L178" s="67">
        <v>1000</v>
      </c>
      <c r="M178" s="67"/>
      <c r="N178" s="123" t="s">
        <v>543</v>
      </c>
      <c r="O178" s="111"/>
      <c r="P178" s="118"/>
      <c r="Q178" s="730" t="s">
        <v>115</v>
      </c>
      <c r="R178" s="730" t="s">
        <v>115</v>
      </c>
      <c r="S178" s="730" t="s">
        <v>115</v>
      </c>
      <c r="T178" s="769"/>
      <c r="U178" s="115"/>
      <c r="V178" s="115"/>
      <c r="W178" s="115"/>
      <c r="X178" s="90" t="s">
        <v>538</v>
      </c>
      <c r="Y178" s="90" t="s">
        <v>117</v>
      </c>
      <c r="Z178" s="132"/>
      <c r="AA178" s="132"/>
      <c r="AB178" s="132"/>
      <c r="AC178" s="132"/>
      <c r="AD178" s="132"/>
      <c r="AE178" s="132"/>
      <c r="AF178" s="132"/>
      <c r="AG178" s="132"/>
      <c r="AH178" s="132"/>
      <c r="AI178" s="132"/>
      <c r="AJ178" s="132"/>
      <c r="AK178" s="132"/>
      <c r="AL178" s="132"/>
      <c r="AM178" s="132"/>
      <c r="AN178" s="132"/>
      <c r="AO178" s="132"/>
      <c r="AP178" s="132"/>
      <c r="AQ178" s="90"/>
      <c r="AR178" s="112" t="s">
        <v>544</v>
      </c>
      <c r="AS178" s="123" t="s">
        <v>545</v>
      </c>
      <c r="AT178" s="67" t="s">
        <v>2125</v>
      </c>
      <c r="AU178" s="35" t="s">
        <v>359</v>
      </c>
      <c r="AV178" s="93"/>
      <c r="AW178" s="157"/>
      <c r="AX178" s="158" t="s">
        <v>2121</v>
      </c>
      <c r="AY178" s="158" t="s">
        <v>459</v>
      </c>
      <c r="AZ178" s="158" t="str">
        <f t="shared" si="215"/>
        <v>服务业旅游</v>
      </c>
      <c r="BA178" s="158" t="s">
        <v>2051</v>
      </c>
      <c r="BB178" s="161"/>
      <c r="BC178" s="160"/>
      <c r="BD178" s="157"/>
      <c r="BE178" s="157"/>
      <c r="BF178" s="157"/>
      <c r="BG178" s="157"/>
      <c r="BH178" s="157"/>
      <c r="BI178" s="181"/>
      <c r="BJ178" s="157" t="str">
        <f t="shared" si="216"/>
        <v>钦南区人民政府3月</v>
      </c>
      <c r="BK178" s="157" t="s">
        <v>92</v>
      </c>
      <c r="BL178" s="157" t="s">
        <v>93</v>
      </c>
      <c r="BM178" s="201" t="str">
        <f t="shared" si="217"/>
        <v>企业钦南区人民政府</v>
      </c>
      <c r="BN178" s="201" t="str">
        <f t="shared" si="218"/>
        <v>产业钦南区人民政府</v>
      </c>
      <c r="BO178" s="201">
        <f t="shared" si="219"/>
        <v>0</v>
      </c>
      <c r="BP178" s="157"/>
      <c r="BQ178" s="157">
        <f t="shared" si="220"/>
        <v>0</v>
      </c>
      <c r="BR178" s="157">
        <f t="shared" si="221"/>
        <v>0</v>
      </c>
      <c r="BS178" s="157">
        <f t="shared" si="222"/>
        <v>0</v>
      </c>
      <c r="BT178" s="157">
        <f t="shared" si="223"/>
        <v>0</v>
      </c>
      <c r="BU178" s="157">
        <f t="shared" si="224"/>
        <v>0</v>
      </c>
      <c r="BV178" s="181"/>
      <c r="BW178" s="206"/>
      <c r="BX178" s="4" t="s">
        <v>1917</v>
      </c>
      <c r="BY178" s="4"/>
      <c r="BZ178" s="4"/>
      <c r="CA178" s="4"/>
      <c r="CB178" s="4"/>
      <c r="CC178" s="4"/>
    </row>
    <row r="179" s="8" customFormat="1" ht="90.75" customHeight="1" spans="1:76">
      <c r="A179" s="23">
        <f>SUBTOTAL(3,C$10:C179)</f>
        <v>141</v>
      </c>
      <c r="B179" s="217" t="s">
        <v>546</v>
      </c>
      <c r="C179" s="23" t="s">
        <v>79</v>
      </c>
      <c r="D179" s="217" t="s">
        <v>547</v>
      </c>
      <c r="E179" s="23" t="s">
        <v>81</v>
      </c>
      <c r="F179" s="67">
        <v>3561.22</v>
      </c>
      <c r="G179" s="67"/>
      <c r="H179" s="67" t="s">
        <v>244</v>
      </c>
      <c r="I179" s="67">
        <v>500</v>
      </c>
      <c r="J179" s="67">
        <v>1000</v>
      </c>
      <c r="K179" s="67">
        <v>1500</v>
      </c>
      <c r="L179" s="67">
        <v>2000</v>
      </c>
      <c r="M179" s="67"/>
      <c r="N179" s="123" t="s">
        <v>548</v>
      </c>
      <c r="O179" s="111"/>
      <c r="P179" s="118"/>
      <c r="Q179" s="730"/>
      <c r="R179" s="730"/>
      <c r="S179" s="730"/>
      <c r="T179" s="769"/>
      <c r="U179" s="115"/>
      <c r="V179" s="115"/>
      <c r="W179" s="115"/>
      <c r="X179" s="90"/>
      <c r="Y179" s="90"/>
      <c r="Z179" s="132"/>
      <c r="AA179" s="132"/>
      <c r="AB179" s="132"/>
      <c r="AC179" s="132"/>
      <c r="AD179" s="132"/>
      <c r="AE179" s="132"/>
      <c r="AF179" s="132"/>
      <c r="AG179" s="132"/>
      <c r="AH179" s="132"/>
      <c r="AI179" s="132"/>
      <c r="AJ179" s="132"/>
      <c r="AK179" s="132"/>
      <c r="AL179" s="132"/>
      <c r="AM179" s="132"/>
      <c r="AN179" s="132"/>
      <c r="AO179" s="132"/>
      <c r="AP179" s="132"/>
      <c r="AQ179" s="90"/>
      <c r="AR179" s="112" t="s">
        <v>117</v>
      </c>
      <c r="AS179" s="123" t="s">
        <v>549</v>
      </c>
      <c r="AT179" s="67" t="s">
        <v>2126</v>
      </c>
      <c r="AU179" s="35" t="s">
        <v>359</v>
      </c>
      <c r="AV179" s="93"/>
      <c r="AW179" s="35"/>
      <c r="AX179" s="92" t="s">
        <v>2121</v>
      </c>
      <c r="AY179" s="92" t="s">
        <v>459</v>
      </c>
      <c r="AZ179" s="92" t="str">
        <f t="shared" si="215"/>
        <v>服务业旅游</v>
      </c>
      <c r="BA179" s="92" t="s">
        <v>2051</v>
      </c>
      <c r="BB179" s="37"/>
      <c r="BC179" s="67"/>
      <c r="BD179" s="35"/>
      <c r="BE179" s="35"/>
      <c r="BF179" s="35"/>
      <c r="BG179" s="35"/>
      <c r="BH179" s="35"/>
      <c r="BI179" s="59"/>
      <c r="BJ179" s="35" t="str">
        <f t="shared" si="216"/>
        <v>钦南区人民政府1月</v>
      </c>
      <c r="BK179" s="35" t="s">
        <v>92</v>
      </c>
      <c r="BL179" s="157" t="s">
        <v>93</v>
      </c>
      <c r="BM179" s="179" t="str">
        <f t="shared" si="217"/>
        <v>企业钦南区人民政府</v>
      </c>
      <c r="BN179" s="179" t="str">
        <f t="shared" si="218"/>
        <v>产业钦南区人民政府</v>
      </c>
      <c r="BO179" s="179">
        <f t="shared" si="219"/>
        <v>0</v>
      </c>
      <c r="BP179" s="35"/>
      <c r="BQ179" s="35">
        <f t="shared" si="220"/>
        <v>0</v>
      </c>
      <c r="BR179" s="35">
        <f t="shared" si="221"/>
        <v>0</v>
      </c>
      <c r="BS179" s="35">
        <f t="shared" si="222"/>
        <v>0</v>
      </c>
      <c r="BT179" s="35">
        <f t="shared" si="223"/>
        <v>0</v>
      </c>
      <c r="BU179" s="35">
        <f t="shared" si="224"/>
        <v>0</v>
      </c>
      <c r="BV179" s="59"/>
      <c r="BW179" s="217"/>
      <c r="BX179" s="8" t="s">
        <v>1917</v>
      </c>
    </row>
    <row r="180" ht="69.75" customHeight="1" spans="1:81">
      <c r="A180" s="23">
        <f>SUBTOTAL(3,C$10:C180)</f>
        <v>142</v>
      </c>
      <c r="B180" s="60" t="s">
        <v>550</v>
      </c>
      <c r="C180" s="23" t="s">
        <v>79</v>
      </c>
      <c r="D180" s="88" t="s">
        <v>551</v>
      </c>
      <c r="E180" s="55" t="s">
        <v>262</v>
      </c>
      <c r="F180" s="35">
        <v>103532</v>
      </c>
      <c r="G180" s="35"/>
      <c r="H180" s="81" t="s">
        <v>209</v>
      </c>
      <c r="I180" s="81"/>
      <c r="J180" s="81"/>
      <c r="K180" s="37">
        <v>500</v>
      </c>
      <c r="L180" s="38">
        <v>8000</v>
      </c>
      <c r="M180" s="38"/>
      <c r="N180" s="112" t="s">
        <v>552</v>
      </c>
      <c r="O180" s="111"/>
      <c r="P180" s="118"/>
      <c r="Q180" s="730" t="s">
        <v>115</v>
      </c>
      <c r="R180" s="730" t="s">
        <v>115</v>
      </c>
      <c r="S180" s="730" t="s">
        <v>115</v>
      </c>
      <c r="T180" s="769"/>
      <c r="U180" s="115"/>
      <c r="V180" s="115"/>
      <c r="W180" s="115"/>
      <c r="X180" s="90" t="s">
        <v>538</v>
      </c>
      <c r="Y180" s="90" t="s">
        <v>117</v>
      </c>
      <c r="Z180" s="132"/>
      <c r="AA180" s="132"/>
      <c r="AB180" s="132"/>
      <c r="AC180" s="132"/>
      <c r="AD180" s="132"/>
      <c r="AE180" s="132"/>
      <c r="AF180" s="132"/>
      <c r="AG180" s="132"/>
      <c r="AH180" s="132"/>
      <c r="AI180" s="132"/>
      <c r="AJ180" s="132"/>
      <c r="AK180" s="132"/>
      <c r="AL180" s="132"/>
      <c r="AM180" s="132"/>
      <c r="AN180" s="132"/>
      <c r="AO180" s="132"/>
      <c r="AP180" s="132"/>
      <c r="AQ180" s="90"/>
      <c r="AR180" s="112" t="s">
        <v>117</v>
      </c>
      <c r="AS180" s="34" t="s">
        <v>553</v>
      </c>
      <c r="AT180" s="35" t="s">
        <v>2127</v>
      </c>
      <c r="AU180" s="81" t="s">
        <v>375</v>
      </c>
      <c r="AV180" s="93"/>
      <c r="AW180" s="157"/>
      <c r="AX180" s="158" t="s">
        <v>2121</v>
      </c>
      <c r="AY180" s="158" t="s">
        <v>459</v>
      </c>
      <c r="AZ180" s="158" t="str">
        <f t="shared" si="215"/>
        <v>服务业旅游</v>
      </c>
      <c r="BA180" s="158" t="s">
        <v>2051</v>
      </c>
      <c r="BB180" s="161"/>
      <c r="BC180" s="160"/>
      <c r="BD180" s="157"/>
      <c r="BE180" s="157"/>
      <c r="BF180" s="157"/>
      <c r="BG180" s="157"/>
      <c r="BH180" s="157"/>
      <c r="BI180" s="181"/>
      <c r="BJ180" s="157" t="str">
        <f t="shared" si="216"/>
        <v>钦北区人民政府8月</v>
      </c>
      <c r="BK180" s="157" t="s">
        <v>92</v>
      </c>
      <c r="BL180" s="157" t="s">
        <v>93</v>
      </c>
      <c r="BM180" s="201" t="str">
        <f t="shared" si="217"/>
        <v>企业钦北区人民政府</v>
      </c>
      <c r="BN180" s="201" t="str">
        <f t="shared" si="218"/>
        <v>产业钦北区人民政府</v>
      </c>
      <c r="BO180" s="201">
        <f t="shared" si="219"/>
        <v>0</v>
      </c>
      <c r="BP180" s="157"/>
      <c r="BQ180" s="157">
        <f t="shared" si="220"/>
        <v>0</v>
      </c>
      <c r="BR180" s="157">
        <f t="shared" si="221"/>
        <v>0</v>
      </c>
      <c r="BS180" s="157">
        <f t="shared" si="222"/>
        <v>0</v>
      </c>
      <c r="BT180" s="157">
        <f t="shared" si="223"/>
        <v>0</v>
      </c>
      <c r="BU180" s="157">
        <f t="shared" si="224"/>
        <v>0</v>
      </c>
      <c r="BV180" s="181"/>
      <c r="BW180" s="206"/>
      <c r="BX180" s="4" t="s">
        <v>1917</v>
      </c>
      <c r="BY180" s="4"/>
      <c r="BZ180" s="4"/>
      <c r="CA180" s="4"/>
      <c r="CB180" s="4"/>
      <c r="CC180" s="4"/>
    </row>
    <row r="181" ht="69.75" customHeight="1" spans="1:81">
      <c r="A181" s="23">
        <f>SUBTOTAL(3,C$10:C181)</f>
        <v>143</v>
      </c>
      <c r="B181" s="60" t="s">
        <v>554</v>
      </c>
      <c r="C181" s="23" t="s">
        <v>79</v>
      </c>
      <c r="D181" s="88" t="s">
        <v>555</v>
      </c>
      <c r="E181" s="23" t="s">
        <v>208</v>
      </c>
      <c r="F181" s="67">
        <v>62000</v>
      </c>
      <c r="G181" s="67"/>
      <c r="H181" s="81" t="s">
        <v>82</v>
      </c>
      <c r="I181" s="81"/>
      <c r="J181" s="81"/>
      <c r="K181" s="81"/>
      <c r="L181" s="36">
        <v>5000</v>
      </c>
      <c r="M181" s="36"/>
      <c r="N181" s="112" t="s">
        <v>556</v>
      </c>
      <c r="O181" s="111"/>
      <c r="P181" s="118"/>
      <c r="Q181" s="769" t="s">
        <v>115</v>
      </c>
      <c r="R181" s="769" t="s">
        <v>115</v>
      </c>
      <c r="S181" s="769" t="s">
        <v>115</v>
      </c>
      <c r="T181" s="769" t="s">
        <v>115</v>
      </c>
      <c r="U181" s="115"/>
      <c r="V181" s="115"/>
      <c r="W181" s="115"/>
      <c r="X181" s="90" t="s">
        <v>557</v>
      </c>
      <c r="Y181" s="90" t="s">
        <v>117</v>
      </c>
      <c r="Z181" s="132">
        <v>300</v>
      </c>
      <c r="AA181" s="132">
        <v>100</v>
      </c>
      <c r="AB181" s="132">
        <v>200</v>
      </c>
      <c r="AC181" s="132"/>
      <c r="AD181" s="132"/>
      <c r="AE181" s="132"/>
      <c r="AF181" s="132"/>
      <c r="AG181" s="132"/>
      <c r="AH181" s="132"/>
      <c r="AI181" s="132"/>
      <c r="AJ181" s="132"/>
      <c r="AK181" s="132"/>
      <c r="AL181" s="132"/>
      <c r="AM181" s="132"/>
      <c r="AN181" s="132"/>
      <c r="AO181" s="132"/>
      <c r="AP181" s="132"/>
      <c r="AQ181" s="90"/>
      <c r="AR181" s="112" t="s">
        <v>558</v>
      </c>
      <c r="AS181" s="123" t="s">
        <v>559</v>
      </c>
      <c r="AT181" s="67" t="s">
        <v>2128</v>
      </c>
      <c r="AU181" s="35" t="s">
        <v>375</v>
      </c>
      <c r="AV181" s="93"/>
      <c r="AW181" s="157"/>
      <c r="AX181" s="158" t="s">
        <v>2121</v>
      </c>
      <c r="AY181" s="158" t="s">
        <v>459</v>
      </c>
      <c r="AZ181" s="158" t="str">
        <f t="shared" si="215"/>
        <v>服务业旅游</v>
      </c>
      <c r="BA181" s="158" t="s">
        <v>2051</v>
      </c>
      <c r="BB181" s="161"/>
      <c r="BC181" s="160"/>
      <c r="BD181" s="157"/>
      <c r="BE181" s="157"/>
      <c r="BF181" s="157"/>
      <c r="BG181" s="157"/>
      <c r="BH181" s="157"/>
      <c r="BI181" s="181"/>
      <c r="BJ181" s="157" t="str">
        <f t="shared" si="216"/>
        <v>钦北区人民政府10月</v>
      </c>
      <c r="BK181" s="157" t="s">
        <v>92</v>
      </c>
      <c r="BL181" s="157" t="s">
        <v>93</v>
      </c>
      <c r="BM181" s="201" t="str">
        <f t="shared" si="217"/>
        <v>企业钦北区人民政府</v>
      </c>
      <c r="BN181" s="201" t="str">
        <f t="shared" si="218"/>
        <v>产业钦北区人民政府</v>
      </c>
      <c r="BO181" s="201">
        <f t="shared" si="219"/>
        <v>0</v>
      </c>
      <c r="BP181" s="157"/>
      <c r="BQ181" s="157">
        <f t="shared" si="220"/>
        <v>1</v>
      </c>
      <c r="BR181" s="157">
        <f t="shared" si="221"/>
        <v>0</v>
      </c>
      <c r="BS181" s="157">
        <f t="shared" si="222"/>
        <v>0</v>
      </c>
      <c r="BT181" s="157">
        <f t="shared" si="223"/>
        <v>0</v>
      </c>
      <c r="BU181" s="157">
        <f t="shared" si="224"/>
        <v>0</v>
      </c>
      <c r="BV181" s="181"/>
      <c r="BW181" s="206"/>
      <c r="BX181" s="4" t="s">
        <v>1917</v>
      </c>
      <c r="BY181" s="4"/>
      <c r="BZ181" s="4"/>
      <c r="CA181" s="4"/>
      <c r="CB181" s="4"/>
      <c r="CC181" s="4"/>
    </row>
    <row r="182" ht="85.5" customHeight="1" spans="1:81">
      <c r="A182" s="23">
        <f>SUBTOTAL(3,C$10:C182)</f>
        <v>144</v>
      </c>
      <c r="B182" s="55" t="s">
        <v>521</v>
      </c>
      <c r="C182" s="35" t="s">
        <v>79</v>
      </c>
      <c r="D182" s="55" t="s">
        <v>522</v>
      </c>
      <c r="E182" s="35" t="s">
        <v>143</v>
      </c>
      <c r="F182" s="36">
        <v>200358</v>
      </c>
      <c r="G182" s="36"/>
      <c r="H182" s="83" t="s">
        <v>209</v>
      </c>
      <c r="I182" s="578"/>
      <c r="J182" s="578"/>
      <c r="K182" s="578">
        <v>4000</v>
      </c>
      <c r="L182" s="36">
        <v>8000</v>
      </c>
      <c r="M182" s="36"/>
      <c r="N182" s="58" t="s">
        <v>284</v>
      </c>
      <c r="O182" s="67"/>
      <c r="P182" s="118"/>
      <c r="Q182" s="115" t="s">
        <v>115</v>
      </c>
      <c r="R182" s="115"/>
      <c r="S182" s="115"/>
      <c r="T182" s="115"/>
      <c r="U182" s="115" t="s">
        <v>115</v>
      </c>
      <c r="V182" s="115"/>
      <c r="W182" s="115"/>
      <c r="X182" s="90" t="s">
        <v>523</v>
      </c>
      <c r="Y182" s="90" t="s">
        <v>117</v>
      </c>
      <c r="Z182" s="132"/>
      <c r="AA182" s="132"/>
      <c r="AB182" s="132"/>
      <c r="AC182" s="132"/>
      <c r="AD182" s="132"/>
      <c r="AE182" s="132"/>
      <c r="AF182" s="132"/>
      <c r="AG182" s="132"/>
      <c r="AH182" s="132"/>
      <c r="AI182" s="132"/>
      <c r="AJ182" s="132"/>
      <c r="AK182" s="132"/>
      <c r="AL182" s="132">
        <v>5000</v>
      </c>
      <c r="AM182" s="132"/>
      <c r="AN182" s="132"/>
      <c r="AO182" s="132"/>
      <c r="AP182" s="132">
        <v>5000</v>
      </c>
      <c r="AQ182" s="90"/>
      <c r="AR182" s="112" t="s">
        <v>117</v>
      </c>
      <c r="AS182" s="34" t="s">
        <v>2129</v>
      </c>
      <c r="AT182" s="35" t="s">
        <v>2130</v>
      </c>
      <c r="AU182" s="35" t="s">
        <v>269</v>
      </c>
      <c r="AV182" s="93"/>
      <c r="AW182" s="157"/>
      <c r="AX182" s="158" t="s">
        <v>2121</v>
      </c>
      <c r="AY182" s="158" t="s">
        <v>459</v>
      </c>
      <c r="AZ182" s="158" t="str">
        <f t="shared" si="215"/>
        <v>服务业旅游</v>
      </c>
      <c r="BA182" s="158" t="s">
        <v>2051</v>
      </c>
      <c r="BB182" s="272"/>
      <c r="BC182" s="160"/>
      <c r="BD182" s="157"/>
      <c r="BE182" s="157"/>
      <c r="BF182" s="157"/>
      <c r="BG182" s="157"/>
      <c r="BH182" s="157"/>
      <c r="BI182" s="181"/>
      <c r="BJ182" s="157" t="str">
        <f t="shared" si="216"/>
        <v>灵山县人民政府8月</v>
      </c>
      <c r="BK182" s="157" t="s">
        <v>205</v>
      </c>
      <c r="BL182" s="157" t="s">
        <v>93</v>
      </c>
      <c r="BM182" s="201" t="str">
        <f t="shared" si="217"/>
        <v>政府灵山县人民政府</v>
      </c>
      <c r="BN182" s="201" t="str">
        <f t="shared" si="218"/>
        <v>产业灵山县人民政府</v>
      </c>
      <c r="BO182" s="201">
        <f t="shared" si="219"/>
        <v>0</v>
      </c>
      <c r="BP182" s="157"/>
      <c r="BQ182" s="157">
        <f t="shared" si="220"/>
        <v>0</v>
      </c>
      <c r="BR182" s="157">
        <f t="shared" si="221"/>
        <v>0</v>
      </c>
      <c r="BS182" s="157">
        <f t="shared" si="222"/>
        <v>0</v>
      </c>
      <c r="BT182" s="157">
        <f t="shared" si="223"/>
        <v>0</v>
      </c>
      <c r="BU182" s="157">
        <f t="shared" si="224"/>
        <v>1</v>
      </c>
      <c r="BV182" s="181"/>
      <c r="BW182" s="206"/>
      <c r="BY182" s="4"/>
      <c r="BZ182" s="7" t="s">
        <v>1890</v>
      </c>
      <c r="CA182" s="4"/>
      <c r="CB182" s="4"/>
      <c r="CC182" s="4"/>
    </row>
    <row r="183" ht="85.5" customHeight="1" spans="1:81">
      <c r="A183" s="23">
        <f>SUBTOTAL(3,C$10:C183)</f>
        <v>145</v>
      </c>
      <c r="B183" s="55" t="s">
        <v>525</v>
      </c>
      <c r="C183" s="35" t="s">
        <v>79</v>
      </c>
      <c r="D183" s="55" t="s">
        <v>526</v>
      </c>
      <c r="E183" s="34" t="s">
        <v>112</v>
      </c>
      <c r="F183" s="35">
        <v>15000</v>
      </c>
      <c r="G183" s="35"/>
      <c r="H183" s="67" t="s">
        <v>209</v>
      </c>
      <c r="I183" s="37">
        <v>0</v>
      </c>
      <c r="J183" s="37">
        <v>0</v>
      </c>
      <c r="K183" s="806">
        <v>4000</v>
      </c>
      <c r="L183" s="257">
        <v>6000</v>
      </c>
      <c r="M183" s="257"/>
      <c r="N183" s="58" t="s">
        <v>527</v>
      </c>
      <c r="O183" s="67"/>
      <c r="P183" s="118"/>
      <c r="Q183" s="115" t="s">
        <v>115</v>
      </c>
      <c r="R183" s="115"/>
      <c r="S183" s="115"/>
      <c r="T183" s="115"/>
      <c r="U183" s="115" t="s">
        <v>115</v>
      </c>
      <c r="V183" s="115"/>
      <c r="W183" s="115"/>
      <c r="X183" s="90"/>
      <c r="Y183" s="90"/>
      <c r="Z183" s="132"/>
      <c r="AA183" s="132"/>
      <c r="AB183" s="132"/>
      <c r="AC183" s="132"/>
      <c r="AD183" s="132"/>
      <c r="AE183" s="132"/>
      <c r="AF183" s="132"/>
      <c r="AG183" s="132"/>
      <c r="AH183" s="132"/>
      <c r="AI183" s="132"/>
      <c r="AJ183" s="132"/>
      <c r="AK183" s="132"/>
      <c r="AL183" s="132">
        <v>5000</v>
      </c>
      <c r="AM183" s="132"/>
      <c r="AN183" s="132"/>
      <c r="AO183" s="132"/>
      <c r="AP183" s="132">
        <v>5000</v>
      </c>
      <c r="AQ183" s="90"/>
      <c r="AR183" s="112" t="s">
        <v>117</v>
      </c>
      <c r="AS183" s="66" t="s">
        <v>528</v>
      </c>
      <c r="AT183" s="23" t="s">
        <v>2033</v>
      </c>
      <c r="AU183" s="35" t="s">
        <v>269</v>
      </c>
      <c r="AV183" s="93"/>
      <c r="AW183" s="157"/>
      <c r="AX183" s="158" t="s">
        <v>2121</v>
      </c>
      <c r="AY183" s="158" t="s">
        <v>459</v>
      </c>
      <c r="AZ183" s="158" t="str">
        <f t="shared" si="215"/>
        <v>服务业旅游</v>
      </c>
      <c r="BA183" s="158" t="s">
        <v>2051</v>
      </c>
      <c r="BB183" s="272"/>
      <c r="BC183" s="160"/>
      <c r="BD183" s="157"/>
      <c r="BE183" s="157"/>
      <c r="BF183" s="157"/>
      <c r="BG183" s="157"/>
      <c r="BH183" s="157"/>
      <c r="BI183" s="181"/>
      <c r="BJ183" s="157" t="str">
        <f t="shared" si="216"/>
        <v>灵山县人民政府8月</v>
      </c>
      <c r="BK183" s="157" t="s">
        <v>205</v>
      </c>
      <c r="BL183" s="157" t="s">
        <v>93</v>
      </c>
      <c r="BM183" s="201" t="str">
        <f t="shared" si="217"/>
        <v>政府灵山县人民政府</v>
      </c>
      <c r="BN183" s="201" t="str">
        <f t="shared" si="218"/>
        <v>产业灵山县人民政府</v>
      </c>
      <c r="BO183" s="201">
        <f t="shared" si="219"/>
        <v>0</v>
      </c>
      <c r="BP183" s="157"/>
      <c r="BQ183" s="157">
        <f t="shared" si="220"/>
        <v>0</v>
      </c>
      <c r="BR183" s="157">
        <f t="shared" si="221"/>
        <v>0</v>
      </c>
      <c r="BS183" s="157">
        <f t="shared" si="222"/>
        <v>0</v>
      </c>
      <c r="BT183" s="157">
        <f t="shared" si="223"/>
        <v>0</v>
      </c>
      <c r="BU183" s="157">
        <f t="shared" si="224"/>
        <v>1</v>
      </c>
      <c r="BV183" s="181"/>
      <c r="BW183" s="206"/>
      <c r="BY183" s="4"/>
      <c r="BZ183" s="7" t="s">
        <v>1890</v>
      </c>
      <c r="CA183" s="4"/>
      <c r="CB183" s="4"/>
      <c r="CC183" s="4"/>
    </row>
    <row r="184" s="9" customFormat="1" ht="20.25" customHeight="1" spans="1:74">
      <c r="A184" s="551"/>
      <c r="B184" s="557" t="str">
        <f>"信息服务（"&amp;SUBTOTAL(3,C185:C187)&amp;"个）"</f>
        <v>信息服务（3个）</v>
      </c>
      <c r="C184" s="551"/>
      <c r="D184" s="554"/>
      <c r="E184" s="551"/>
      <c r="F184" s="134">
        <f t="shared" ref="F184:M184" si="225">SUBTOTAL(9,F185:F187)</f>
        <v>72537</v>
      </c>
      <c r="G184" s="134"/>
      <c r="H184" s="134"/>
      <c r="I184" s="134">
        <f t="shared" si="225"/>
        <v>0</v>
      </c>
      <c r="J184" s="134">
        <f t="shared" si="225"/>
        <v>200</v>
      </c>
      <c r="K184" s="134">
        <f t="shared" si="225"/>
        <v>5400</v>
      </c>
      <c r="L184" s="134">
        <f t="shared" si="225"/>
        <v>23000</v>
      </c>
      <c r="M184" s="134">
        <f t="shared" si="225"/>
        <v>0</v>
      </c>
      <c r="N184" s="591"/>
      <c r="O184" s="134"/>
      <c r="P184" s="118"/>
      <c r="Q184" s="115"/>
      <c r="R184" s="115"/>
      <c r="S184" s="115"/>
      <c r="T184" s="115"/>
      <c r="U184" s="115"/>
      <c r="V184" s="115"/>
      <c r="W184" s="115"/>
      <c r="X184" s="90"/>
      <c r="Y184" s="90"/>
      <c r="Z184" s="132"/>
      <c r="AA184" s="132"/>
      <c r="AB184" s="132"/>
      <c r="AC184" s="132"/>
      <c r="AD184" s="132"/>
      <c r="AE184" s="132"/>
      <c r="AF184" s="132"/>
      <c r="AG184" s="132"/>
      <c r="AH184" s="132"/>
      <c r="AI184" s="132"/>
      <c r="AJ184" s="132"/>
      <c r="AK184" s="132"/>
      <c r="AL184" s="132"/>
      <c r="AM184" s="132"/>
      <c r="AN184" s="132"/>
      <c r="AO184" s="132"/>
      <c r="AP184" s="132"/>
      <c r="AQ184" s="90"/>
      <c r="AR184" s="112"/>
      <c r="AS184" s="591"/>
      <c r="AT184" s="134"/>
      <c r="AU184" s="134"/>
      <c r="AV184" s="93"/>
      <c r="AW184" s="165"/>
      <c r="AX184" s="158"/>
      <c r="AY184" s="158"/>
      <c r="AZ184" s="158"/>
      <c r="BA184" s="158"/>
      <c r="BB184" s="169"/>
      <c r="BC184" s="165"/>
      <c r="BD184" s="165"/>
      <c r="BE184" s="165"/>
      <c r="BF184" s="169"/>
      <c r="BG184" s="169"/>
      <c r="BH184" s="169"/>
      <c r="BI184" s="183"/>
      <c r="BJ184" s="165"/>
      <c r="BK184" s="157"/>
      <c r="BL184" s="157"/>
      <c r="BN184" s="201"/>
      <c r="BO184" s="7"/>
      <c r="BP184" s="157"/>
      <c r="BQ184" s="157"/>
      <c r="BR184" s="157"/>
      <c r="BS184" s="157"/>
      <c r="BT184" s="157"/>
      <c r="BU184" s="157"/>
      <c r="BV184" s="183"/>
    </row>
    <row r="185" s="9" customFormat="1" ht="62.25" customHeight="1" spans="1:76">
      <c r="A185" s="23">
        <f>SUBTOTAL(3,C$10:C185)</f>
        <v>146</v>
      </c>
      <c r="B185" s="55" t="s">
        <v>478</v>
      </c>
      <c r="C185" s="35" t="s">
        <v>79</v>
      </c>
      <c r="D185" s="55" t="s">
        <v>479</v>
      </c>
      <c r="E185" s="35" t="s">
        <v>81</v>
      </c>
      <c r="F185" s="36">
        <v>15000</v>
      </c>
      <c r="G185" s="36"/>
      <c r="H185" s="81" t="s">
        <v>177</v>
      </c>
      <c r="I185" s="81"/>
      <c r="J185" s="37">
        <v>200</v>
      </c>
      <c r="K185" s="37">
        <v>400</v>
      </c>
      <c r="L185" s="36">
        <v>1000</v>
      </c>
      <c r="M185" s="36"/>
      <c r="N185" s="112" t="s">
        <v>480</v>
      </c>
      <c r="O185" s="56"/>
      <c r="P185" s="67"/>
      <c r="Q185" s="730" t="s">
        <v>115</v>
      </c>
      <c r="R185" s="730" t="s">
        <v>115</v>
      </c>
      <c r="S185" s="730" t="s">
        <v>115</v>
      </c>
      <c r="T185" s="730" t="s">
        <v>115</v>
      </c>
      <c r="U185" s="730" t="s">
        <v>115</v>
      </c>
      <c r="V185" s="115"/>
      <c r="W185" s="115"/>
      <c r="X185" s="90" t="s">
        <v>481</v>
      </c>
      <c r="Y185" s="90" t="s">
        <v>117</v>
      </c>
      <c r="Z185" s="132">
        <v>57</v>
      </c>
      <c r="AA185" s="132">
        <v>57</v>
      </c>
      <c r="AB185" s="132"/>
      <c r="AC185" s="132"/>
      <c r="AD185" s="132"/>
      <c r="AE185" s="132"/>
      <c r="AF185" s="132"/>
      <c r="AG185" s="132"/>
      <c r="AH185" s="132"/>
      <c r="AI185" s="132"/>
      <c r="AJ185" s="132"/>
      <c r="AK185" s="132"/>
      <c r="AL185" s="132">
        <v>1000</v>
      </c>
      <c r="AM185" s="132"/>
      <c r="AN185" s="132"/>
      <c r="AO185" s="132">
        <v>1000</v>
      </c>
      <c r="AP185" s="132"/>
      <c r="AQ185" s="90"/>
      <c r="AR185" s="112" t="s">
        <v>117</v>
      </c>
      <c r="AS185" s="34" t="s">
        <v>482</v>
      </c>
      <c r="AT185" s="35" t="s">
        <v>2131</v>
      </c>
      <c r="AU185" s="35" t="s">
        <v>185</v>
      </c>
      <c r="AV185" s="93"/>
      <c r="AW185" s="157"/>
      <c r="AX185" s="158" t="s">
        <v>2132</v>
      </c>
      <c r="AY185" s="158" t="s">
        <v>459</v>
      </c>
      <c r="AZ185" s="158" t="str">
        <f t="shared" ref="AZ185:AZ187" si="226">AY185&amp;AX185</f>
        <v>服务业信息服务</v>
      </c>
      <c r="BA185" s="158" t="s">
        <v>2051</v>
      </c>
      <c r="BB185" s="169"/>
      <c r="BC185" s="160"/>
      <c r="BD185" s="165"/>
      <c r="BE185" s="157"/>
      <c r="BF185" s="157"/>
      <c r="BG185" s="157"/>
      <c r="BH185" s="157"/>
      <c r="BI185" s="181"/>
      <c r="BJ185" s="157" t="str">
        <f t="shared" ref="BJ185:BJ187" si="227">AU185&amp;H185</f>
        <v>中马钦州产业园区管委4月</v>
      </c>
      <c r="BK185" s="157" t="s">
        <v>92</v>
      </c>
      <c r="BL185" s="157" t="s">
        <v>93</v>
      </c>
      <c r="BM185" s="201" t="str">
        <f t="shared" ref="BM185:BM187" si="228">BK185&amp;AU185</f>
        <v>企业中马钦州产业园区管委</v>
      </c>
      <c r="BN185" s="201" t="str">
        <f t="shared" ref="BN185:BN187" si="229">BL185&amp;AU185</f>
        <v>产业中马钦州产业园区管委</v>
      </c>
      <c r="BO185" s="201">
        <f>IF(O185&gt;0,1,0)</f>
        <v>0</v>
      </c>
      <c r="BP185" s="157"/>
      <c r="BQ185" s="157">
        <f t="shared" ref="BQ185:BQ187" si="230">IF(Z185&gt;0,1,0)</f>
        <v>1</v>
      </c>
      <c r="BR185" s="157">
        <f t="shared" ref="BR185:BR187" si="231">IF(AF185&gt;0,1,0)</f>
        <v>0</v>
      </c>
      <c r="BS185" s="157">
        <f t="shared" ref="BS185:BS187" si="232">IF(AC185&gt;0,1,0)</f>
        <v>0</v>
      </c>
      <c r="BT185" s="157">
        <f t="shared" ref="BT185:BT187" si="233">IF(AI185&gt;0,1,0)</f>
        <v>0</v>
      </c>
      <c r="BU185" s="157">
        <f t="shared" ref="BU185:BU187" si="234">IF(AL185&gt;0,1,0)</f>
        <v>1</v>
      </c>
      <c r="BV185" s="181"/>
      <c r="BW185" s="206"/>
      <c r="BX185" s="9" t="s">
        <v>1904</v>
      </c>
    </row>
    <row r="186" s="6" customFormat="1" ht="63" customHeight="1" spans="1:79">
      <c r="A186" s="23">
        <f>SUBTOTAL(3,C$10:C186)</f>
        <v>147</v>
      </c>
      <c r="B186" s="55" t="s">
        <v>449</v>
      </c>
      <c r="C186" s="58" t="s">
        <v>79</v>
      </c>
      <c r="D186" s="55" t="s">
        <v>450</v>
      </c>
      <c r="E186" s="35" t="s">
        <v>112</v>
      </c>
      <c r="F186" s="38">
        <v>45537</v>
      </c>
      <c r="G186" s="38"/>
      <c r="H186" s="83" t="s">
        <v>122</v>
      </c>
      <c r="I186" s="83"/>
      <c r="J186" s="83"/>
      <c r="K186" s="578">
        <v>5000</v>
      </c>
      <c r="L186" s="38">
        <v>10000</v>
      </c>
      <c r="M186" s="38"/>
      <c r="N186" s="112" t="s">
        <v>2133</v>
      </c>
      <c r="O186" s="111"/>
      <c r="P186" s="67"/>
      <c r="Q186" s="134" t="s">
        <v>115</v>
      </c>
      <c r="R186" s="134" t="s">
        <v>115</v>
      </c>
      <c r="S186" s="134"/>
      <c r="T186" s="134" t="s">
        <v>115</v>
      </c>
      <c r="U186" s="134"/>
      <c r="V186" s="134" t="s">
        <v>115</v>
      </c>
      <c r="W186" s="134"/>
      <c r="X186" s="90" t="s">
        <v>452</v>
      </c>
      <c r="Y186" s="137" t="s">
        <v>453</v>
      </c>
      <c r="Z186" s="115">
        <v>29</v>
      </c>
      <c r="AA186" s="115">
        <v>29</v>
      </c>
      <c r="AB186" s="115"/>
      <c r="AC186" s="115"/>
      <c r="AD186" s="115"/>
      <c r="AE186" s="115"/>
      <c r="AF186" s="115"/>
      <c r="AG186" s="115"/>
      <c r="AH186" s="115"/>
      <c r="AI186" s="115"/>
      <c r="AJ186" s="115"/>
      <c r="AK186" s="115"/>
      <c r="AL186" s="115">
        <v>10000</v>
      </c>
      <c r="AM186" s="115"/>
      <c r="AN186" s="115"/>
      <c r="AO186" s="115"/>
      <c r="AP186" s="115">
        <v>10000</v>
      </c>
      <c r="AQ186" s="90"/>
      <c r="AR186" s="112" t="s">
        <v>454</v>
      </c>
      <c r="AS186" s="123" t="s">
        <v>455</v>
      </c>
      <c r="AT186" s="35" t="s">
        <v>2134</v>
      </c>
      <c r="AU186" s="59" t="s">
        <v>456</v>
      </c>
      <c r="AV186" s="93" t="s">
        <v>457</v>
      </c>
      <c r="AW186" s="157"/>
      <c r="AX186" s="158" t="s">
        <v>2132</v>
      </c>
      <c r="AY186" s="158" t="s">
        <v>459</v>
      </c>
      <c r="AZ186" s="158" t="str">
        <f t="shared" si="226"/>
        <v>服务业信息服务</v>
      </c>
      <c r="BA186" s="158" t="s">
        <v>2051</v>
      </c>
      <c r="BB186" s="167"/>
      <c r="BC186" s="160"/>
      <c r="BD186" s="157"/>
      <c r="BE186" s="157"/>
      <c r="BF186" s="157"/>
      <c r="BG186" s="157"/>
      <c r="BH186" s="157"/>
      <c r="BI186" s="157"/>
      <c r="BJ186" s="157" t="str">
        <f t="shared" si="227"/>
        <v>市发展改革委6月</v>
      </c>
      <c r="BK186" s="157" t="s">
        <v>205</v>
      </c>
      <c r="BL186" s="157" t="s">
        <v>93</v>
      </c>
      <c r="BM186" s="201" t="str">
        <f t="shared" si="228"/>
        <v>政府市发展改革委</v>
      </c>
      <c r="BN186" s="201" t="str">
        <f t="shared" si="229"/>
        <v>产业市发展改革委</v>
      </c>
      <c r="BO186" s="201"/>
      <c r="BP186" s="157"/>
      <c r="BQ186" s="157">
        <f t="shared" si="230"/>
        <v>1</v>
      </c>
      <c r="BR186" s="157">
        <f t="shared" si="231"/>
        <v>0</v>
      </c>
      <c r="BS186" s="157">
        <f t="shared" si="232"/>
        <v>0</v>
      </c>
      <c r="BT186" s="157">
        <f t="shared" si="233"/>
        <v>0</v>
      </c>
      <c r="BU186" s="157">
        <f t="shared" si="234"/>
        <v>1</v>
      </c>
      <c r="BV186" s="157"/>
      <c r="BW186" s="206"/>
      <c r="BZ186" s="228"/>
      <c r="CA186" s="229"/>
    </row>
    <row r="187" s="6" customFormat="1" ht="73.5" customHeight="1" spans="1:79">
      <c r="A187" s="23">
        <f>SUBTOTAL(3,C$10:C187)</f>
        <v>148</v>
      </c>
      <c r="B187" s="55" t="s">
        <v>460</v>
      </c>
      <c r="C187" s="34" t="s">
        <v>79</v>
      </c>
      <c r="D187" s="55" t="s">
        <v>461</v>
      </c>
      <c r="E187" s="35" t="s">
        <v>112</v>
      </c>
      <c r="F187" s="67">
        <v>12000</v>
      </c>
      <c r="G187" s="67"/>
      <c r="H187" s="81" t="s">
        <v>131</v>
      </c>
      <c r="I187" s="81"/>
      <c r="J187" s="81"/>
      <c r="K187" s="81"/>
      <c r="L187" s="127">
        <v>12000</v>
      </c>
      <c r="M187" s="127"/>
      <c r="N187" s="807" t="s">
        <v>284</v>
      </c>
      <c r="O187" s="56"/>
      <c r="P187" s="127"/>
      <c r="Q187" s="134" t="s">
        <v>115</v>
      </c>
      <c r="R187" s="134"/>
      <c r="S187" s="115"/>
      <c r="T187" s="115"/>
      <c r="U187" s="134" t="s">
        <v>115</v>
      </c>
      <c r="V187" s="134" t="s">
        <v>115</v>
      </c>
      <c r="W187" s="134"/>
      <c r="X187" s="90" t="s">
        <v>462</v>
      </c>
      <c r="Y187" s="90" t="s">
        <v>463</v>
      </c>
      <c r="Z187" s="132"/>
      <c r="AA187" s="132"/>
      <c r="AB187" s="132"/>
      <c r="AC187" s="132"/>
      <c r="AD187" s="132"/>
      <c r="AE187" s="132"/>
      <c r="AF187" s="132"/>
      <c r="AG187" s="132"/>
      <c r="AH187" s="132"/>
      <c r="AI187" s="132"/>
      <c r="AJ187" s="132"/>
      <c r="AK187" s="132"/>
      <c r="AL187" s="132"/>
      <c r="AM187" s="132"/>
      <c r="AN187" s="132"/>
      <c r="AO187" s="132"/>
      <c r="AP187" s="132"/>
      <c r="AQ187" s="90"/>
      <c r="AR187" s="34" t="s">
        <v>203</v>
      </c>
      <c r="AS187" s="123" t="s">
        <v>464</v>
      </c>
      <c r="AT187" s="35" t="s">
        <v>2135</v>
      </c>
      <c r="AU187" s="59" t="s">
        <v>464</v>
      </c>
      <c r="AV187" s="93"/>
      <c r="AW187" s="157"/>
      <c r="AX187" s="158" t="s">
        <v>2132</v>
      </c>
      <c r="AY187" s="158" t="s">
        <v>459</v>
      </c>
      <c r="AZ187" s="158" t="str">
        <f t="shared" si="226"/>
        <v>服务业信息服务</v>
      </c>
      <c r="BA187" s="158" t="s">
        <v>2051</v>
      </c>
      <c r="BB187" s="167"/>
      <c r="BC187" s="160"/>
      <c r="BD187" s="157"/>
      <c r="BE187" s="157"/>
      <c r="BF187" s="157"/>
      <c r="BG187" s="157"/>
      <c r="BH187" s="157"/>
      <c r="BI187" s="157"/>
      <c r="BJ187" s="157" t="str">
        <f t="shared" si="227"/>
        <v>市公安局12月</v>
      </c>
      <c r="BK187" s="157" t="s">
        <v>205</v>
      </c>
      <c r="BL187" s="157" t="s">
        <v>93</v>
      </c>
      <c r="BM187" s="201" t="str">
        <f t="shared" si="228"/>
        <v>政府市公安局</v>
      </c>
      <c r="BN187" s="201" t="str">
        <f t="shared" si="229"/>
        <v>产业市公安局</v>
      </c>
      <c r="BO187" s="201"/>
      <c r="BP187" s="157"/>
      <c r="BQ187" s="157">
        <f t="shared" si="230"/>
        <v>0</v>
      </c>
      <c r="BR187" s="157">
        <f t="shared" si="231"/>
        <v>0</v>
      </c>
      <c r="BS187" s="157">
        <f t="shared" si="232"/>
        <v>0</v>
      </c>
      <c r="BT187" s="157">
        <f t="shared" si="233"/>
        <v>0</v>
      </c>
      <c r="BU187" s="157">
        <f t="shared" si="234"/>
        <v>0</v>
      </c>
      <c r="BV187" s="157"/>
      <c r="BW187" s="206"/>
      <c r="BZ187" s="228"/>
      <c r="CA187" s="229"/>
    </row>
    <row r="188" s="9" customFormat="1" ht="30" customHeight="1" spans="1:73">
      <c r="A188" s="551" t="s">
        <v>2136</v>
      </c>
      <c r="B188" s="557" t="str">
        <f>"社会事业（"&amp;SUBTOTAL(3,C190:C213)&amp;"个）"</f>
        <v>社会事业（20个）</v>
      </c>
      <c r="C188" s="557"/>
      <c r="D188" s="557"/>
      <c r="E188" s="551"/>
      <c r="F188" s="134">
        <f t="shared" ref="F188:M188" si="235">F189+F196+F201+F203+F206</f>
        <v>185250.77</v>
      </c>
      <c r="G188" s="134"/>
      <c r="H188" s="134"/>
      <c r="I188" s="134">
        <f t="shared" si="235"/>
        <v>2550</v>
      </c>
      <c r="J188" s="134">
        <f t="shared" si="235"/>
        <v>8820</v>
      </c>
      <c r="K188" s="134">
        <f t="shared" si="235"/>
        <v>22300</v>
      </c>
      <c r="L188" s="134">
        <f t="shared" si="235"/>
        <v>42980</v>
      </c>
      <c r="M188" s="134">
        <f t="shared" si="235"/>
        <v>0</v>
      </c>
      <c r="N188" s="591"/>
      <c r="O188" s="134">
        <f t="shared" ref="O188:W188" si="236">O189+O201+O203+O206</f>
        <v>0</v>
      </c>
      <c r="P188" s="134">
        <f t="shared" si="236"/>
        <v>0</v>
      </c>
      <c r="Q188" s="134">
        <f t="shared" si="236"/>
        <v>0</v>
      </c>
      <c r="R188" s="134">
        <f t="shared" si="236"/>
        <v>0</v>
      </c>
      <c r="S188" s="134">
        <f t="shared" si="236"/>
        <v>0</v>
      </c>
      <c r="T188" s="134">
        <f t="shared" si="236"/>
        <v>0</v>
      </c>
      <c r="U188" s="134">
        <f t="shared" si="236"/>
        <v>0</v>
      </c>
      <c r="V188" s="134">
        <f t="shared" si="236"/>
        <v>0</v>
      </c>
      <c r="W188" s="134">
        <f t="shared" si="236"/>
        <v>0</v>
      </c>
      <c r="X188" s="674"/>
      <c r="Y188" s="90"/>
      <c r="Z188" s="132"/>
      <c r="AA188" s="132"/>
      <c r="AB188" s="132"/>
      <c r="AC188" s="132"/>
      <c r="AD188" s="132"/>
      <c r="AE188" s="132"/>
      <c r="AF188" s="132"/>
      <c r="AG188" s="132"/>
      <c r="AH188" s="132"/>
      <c r="AI188" s="132"/>
      <c r="AJ188" s="132"/>
      <c r="AK188" s="132"/>
      <c r="AL188" s="132"/>
      <c r="AM188" s="132"/>
      <c r="AN188" s="132"/>
      <c r="AO188" s="132"/>
      <c r="AP188" s="132"/>
      <c r="AQ188" s="90"/>
      <c r="AR188" s="112"/>
      <c r="AS188" s="591"/>
      <c r="AT188" s="134"/>
      <c r="AU188" s="134"/>
      <c r="AV188" s="93"/>
      <c r="AW188" s="165"/>
      <c r="AX188" s="158"/>
      <c r="AY188" s="158"/>
      <c r="AZ188" s="158"/>
      <c r="BA188" s="158"/>
      <c r="BB188" s="169"/>
      <c r="BC188" s="165"/>
      <c r="BD188" s="165"/>
      <c r="BE188" s="165"/>
      <c r="BF188" s="169"/>
      <c r="BG188" s="169"/>
      <c r="BH188" s="169"/>
      <c r="BJ188" s="165"/>
      <c r="BK188" s="157"/>
      <c r="BL188" s="157"/>
      <c r="BN188" s="201"/>
      <c r="BO188" s="7"/>
      <c r="BP188" s="157"/>
      <c r="BQ188" s="157"/>
      <c r="BR188" s="157"/>
      <c r="BS188" s="157"/>
      <c r="BT188" s="157"/>
      <c r="BU188" s="157"/>
    </row>
    <row r="189" s="9" customFormat="1" ht="18" customHeight="1" spans="1:74">
      <c r="A189" s="551"/>
      <c r="B189" s="557" t="str">
        <f>"教育（"&amp;SUBTOTAL(3,C190:C195)&amp;"个）"</f>
        <v>教育（6个）</v>
      </c>
      <c r="C189" s="551"/>
      <c r="D189" s="554"/>
      <c r="E189" s="551"/>
      <c r="F189" s="134">
        <f t="shared" ref="F189:M189" si="237">SUBTOTAL(9,F190:F195)</f>
        <v>43121.77</v>
      </c>
      <c r="G189" s="134"/>
      <c r="H189" s="134"/>
      <c r="I189" s="134">
        <f t="shared" si="237"/>
        <v>1650</v>
      </c>
      <c r="J189" s="134">
        <f t="shared" si="237"/>
        <v>3520</v>
      </c>
      <c r="K189" s="134">
        <f t="shared" si="237"/>
        <v>6450</v>
      </c>
      <c r="L189" s="134">
        <f t="shared" si="237"/>
        <v>9780</v>
      </c>
      <c r="M189" s="134">
        <f t="shared" si="237"/>
        <v>0</v>
      </c>
      <c r="N189" s="591"/>
      <c r="O189" s="134"/>
      <c r="P189" s="118"/>
      <c r="Q189" s="115"/>
      <c r="R189" s="115"/>
      <c r="S189" s="115"/>
      <c r="T189" s="115"/>
      <c r="U189" s="115"/>
      <c r="V189" s="115"/>
      <c r="W189" s="115"/>
      <c r="X189" s="90"/>
      <c r="Y189" s="90"/>
      <c r="Z189" s="115"/>
      <c r="AA189" s="115"/>
      <c r="AB189" s="115"/>
      <c r="AC189" s="115"/>
      <c r="AD189" s="115"/>
      <c r="AE189" s="115"/>
      <c r="AF189" s="115"/>
      <c r="AG189" s="115"/>
      <c r="AH189" s="115"/>
      <c r="AI189" s="115"/>
      <c r="AJ189" s="115"/>
      <c r="AK189" s="115"/>
      <c r="AL189" s="115"/>
      <c r="AM189" s="115"/>
      <c r="AN189" s="115"/>
      <c r="AO189" s="115"/>
      <c r="AP189" s="115"/>
      <c r="AQ189" s="90"/>
      <c r="AR189" s="112"/>
      <c r="AS189" s="591"/>
      <c r="AT189" s="134"/>
      <c r="AU189" s="134"/>
      <c r="AV189" s="93"/>
      <c r="AW189" s="165"/>
      <c r="AX189" s="158"/>
      <c r="AY189" s="158"/>
      <c r="AZ189" s="158"/>
      <c r="BA189" s="158"/>
      <c r="BB189" s="169"/>
      <c r="BC189" s="165"/>
      <c r="BD189" s="165"/>
      <c r="BE189" s="165"/>
      <c r="BF189" s="169"/>
      <c r="BG189" s="169"/>
      <c r="BH189" s="169"/>
      <c r="BI189" s="183"/>
      <c r="BJ189" s="165"/>
      <c r="BK189" s="157"/>
      <c r="BL189" s="157"/>
      <c r="BN189" s="201"/>
      <c r="BO189" s="7"/>
      <c r="BP189" s="157"/>
      <c r="BQ189" s="157"/>
      <c r="BR189" s="157"/>
      <c r="BS189" s="157"/>
      <c r="BT189" s="157"/>
      <c r="BU189" s="157"/>
      <c r="BV189" s="183"/>
    </row>
    <row r="190" s="8" customFormat="1" ht="62.25" customHeight="1" spans="1:75">
      <c r="A190" s="23">
        <f>SUBTOTAL(3,C$10:C190)</f>
        <v>149</v>
      </c>
      <c r="B190" s="55" t="s">
        <v>1776</v>
      </c>
      <c r="C190" s="87" t="s">
        <v>79</v>
      </c>
      <c r="D190" s="55" t="s">
        <v>1777</v>
      </c>
      <c r="E190" s="35" t="s">
        <v>112</v>
      </c>
      <c r="F190" s="36">
        <v>6254</v>
      </c>
      <c r="G190" s="36"/>
      <c r="H190" s="83" t="s">
        <v>122</v>
      </c>
      <c r="I190" s="83"/>
      <c r="J190" s="37">
        <v>120</v>
      </c>
      <c r="K190" s="37">
        <v>600</v>
      </c>
      <c r="L190" s="36">
        <v>1000</v>
      </c>
      <c r="M190" s="36"/>
      <c r="N190" s="112" t="s">
        <v>1778</v>
      </c>
      <c r="O190" s="111"/>
      <c r="P190" s="67"/>
      <c r="Q190" s="134" t="s">
        <v>115</v>
      </c>
      <c r="R190" s="134" t="s">
        <v>115</v>
      </c>
      <c r="S190" s="134" t="s">
        <v>115</v>
      </c>
      <c r="T190" s="115"/>
      <c r="U190" s="115"/>
      <c r="V190" s="115"/>
      <c r="W190" s="115"/>
      <c r="X190" s="90" t="s">
        <v>1779</v>
      </c>
      <c r="Y190" s="90" t="s">
        <v>453</v>
      </c>
      <c r="Z190" s="252">
        <v>79.05</v>
      </c>
      <c r="AA190" s="252">
        <v>79.05</v>
      </c>
      <c r="AB190" s="252"/>
      <c r="AC190" s="252"/>
      <c r="AD190" s="252"/>
      <c r="AE190" s="252"/>
      <c r="AF190" s="252"/>
      <c r="AG190" s="252"/>
      <c r="AH190" s="252"/>
      <c r="AI190" s="252">
        <v>79.05</v>
      </c>
      <c r="AJ190" s="252">
        <v>79.05</v>
      </c>
      <c r="AK190" s="252"/>
      <c r="AL190" s="252">
        <v>1000</v>
      </c>
      <c r="AM190" s="252"/>
      <c r="AN190" s="252"/>
      <c r="AO190" s="252"/>
      <c r="AP190" s="252">
        <v>1000</v>
      </c>
      <c r="AQ190" s="90"/>
      <c r="AR190" s="112" t="s">
        <v>737</v>
      </c>
      <c r="AS190" s="34" t="s">
        <v>1780</v>
      </c>
      <c r="AT190" s="35" t="s">
        <v>2137</v>
      </c>
      <c r="AU190" s="35" t="s">
        <v>359</v>
      </c>
      <c r="AV190" s="55"/>
      <c r="AW190" s="35"/>
      <c r="AX190" s="92" t="s">
        <v>2138</v>
      </c>
      <c r="AY190" s="92" t="s">
        <v>2139</v>
      </c>
      <c r="AZ190" s="92" t="str">
        <f t="shared" ref="AZ190:AZ195" si="238">AY190&amp;AX190</f>
        <v>社会事业教育</v>
      </c>
      <c r="BA190" s="92" t="str">
        <f t="shared" ref="BA190:BA195" si="239">AX190</f>
        <v>教育</v>
      </c>
      <c r="BB190" s="156"/>
      <c r="BC190" s="67"/>
      <c r="BD190" s="35"/>
      <c r="BE190" s="35"/>
      <c r="BF190" s="35"/>
      <c r="BG190" s="35"/>
      <c r="BH190" s="35"/>
      <c r="BI190" s="180"/>
      <c r="BJ190" s="157" t="str">
        <f t="shared" ref="BJ190:BJ195" si="240">AU190&amp;H190</f>
        <v>钦南区人民政府6月</v>
      </c>
      <c r="BK190" s="35" t="s">
        <v>205</v>
      </c>
      <c r="BL190" s="35" t="s">
        <v>2140</v>
      </c>
      <c r="BM190" s="179" t="str">
        <f t="shared" ref="BM190:BM195" si="241">BK190&amp;AU190</f>
        <v>政府钦南区人民政府</v>
      </c>
      <c r="BN190" s="179" t="str">
        <f t="shared" ref="BN190:BN195" si="242">BL190&amp;AU190</f>
        <v>民生设施钦南区人民政府</v>
      </c>
      <c r="BO190" s="179">
        <f t="shared" ref="BO190:BO193" si="243">IF(O190&gt;0,1,0)</f>
        <v>0</v>
      </c>
      <c r="BP190" s="35"/>
      <c r="BQ190" s="157">
        <f t="shared" ref="BQ190:BQ195" si="244">IF(Z190&gt;0,1,0)</f>
        <v>1</v>
      </c>
      <c r="BR190" s="157">
        <f t="shared" ref="BR190:BR195" si="245">IF(AF190&gt;0,1,0)</f>
        <v>0</v>
      </c>
      <c r="BS190" s="157">
        <f t="shared" ref="BS190:BS195" si="246">IF(AC190&gt;0,1,0)</f>
        <v>0</v>
      </c>
      <c r="BT190" s="157">
        <f t="shared" ref="BT190:BT195" si="247">IF(AI190&gt;0,1,0)</f>
        <v>1</v>
      </c>
      <c r="BU190" s="157">
        <f t="shared" ref="BU190:BU195" si="248">IF(AL190&gt;0,1,0)</f>
        <v>1</v>
      </c>
      <c r="BV190" s="180"/>
      <c r="BW190" s="217"/>
    </row>
    <row r="191" s="10" customFormat="1" ht="65.25" customHeight="1" spans="1:75">
      <c r="A191" s="23">
        <f>SUBTOTAL(3,C$10:C191)</f>
        <v>150</v>
      </c>
      <c r="B191" s="55" t="s">
        <v>1784</v>
      </c>
      <c r="C191" s="55" t="s">
        <v>79</v>
      </c>
      <c r="D191" s="55" t="s">
        <v>1785</v>
      </c>
      <c r="E191" s="55" t="s">
        <v>112</v>
      </c>
      <c r="F191" s="36">
        <v>12237.77</v>
      </c>
      <c r="G191" s="36"/>
      <c r="H191" s="81" t="s">
        <v>195</v>
      </c>
      <c r="I191" s="37">
        <v>1500</v>
      </c>
      <c r="J191" s="37">
        <v>2500</v>
      </c>
      <c r="K191" s="37">
        <v>3500</v>
      </c>
      <c r="L191" s="35">
        <v>4000</v>
      </c>
      <c r="M191" s="35"/>
      <c r="N191" s="34" t="s">
        <v>1786</v>
      </c>
      <c r="O191" s="127"/>
      <c r="P191" s="78"/>
      <c r="Q191" s="809" t="s">
        <v>115</v>
      </c>
      <c r="R191" s="809" t="s">
        <v>115</v>
      </c>
      <c r="S191" s="769"/>
      <c r="T191" s="769"/>
      <c r="U191" s="769"/>
      <c r="V191" s="769"/>
      <c r="W191" s="769"/>
      <c r="X191" s="55" t="s">
        <v>1787</v>
      </c>
      <c r="Y191" s="55" t="s">
        <v>1788</v>
      </c>
      <c r="Z191" s="132">
        <v>51</v>
      </c>
      <c r="AA191" s="132">
        <v>51</v>
      </c>
      <c r="AB191" s="132"/>
      <c r="AC191" s="132"/>
      <c r="AD191" s="132"/>
      <c r="AE191" s="132"/>
      <c r="AF191" s="132"/>
      <c r="AG191" s="132"/>
      <c r="AH191" s="132"/>
      <c r="AI191" s="132"/>
      <c r="AJ191" s="132"/>
      <c r="AK191" s="132"/>
      <c r="AL191" s="132"/>
      <c r="AM191" s="132"/>
      <c r="AN191" s="132"/>
      <c r="AO191" s="132"/>
      <c r="AP191" s="132"/>
      <c r="AQ191" s="90"/>
      <c r="AR191" s="34" t="s">
        <v>1789</v>
      </c>
      <c r="AS191" s="34" t="s">
        <v>1790</v>
      </c>
      <c r="AT191" s="35" t="s">
        <v>2141</v>
      </c>
      <c r="AU191" s="35" t="s">
        <v>375</v>
      </c>
      <c r="AV191" s="93"/>
      <c r="AW191" s="157"/>
      <c r="AX191" s="158" t="s">
        <v>2138</v>
      </c>
      <c r="AY191" s="158" t="s">
        <v>2139</v>
      </c>
      <c r="AZ191" s="158" t="str">
        <f t="shared" si="238"/>
        <v>社会事业教育</v>
      </c>
      <c r="BA191" s="92" t="str">
        <f t="shared" si="239"/>
        <v>教育</v>
      </c>
      <c r="BB191" s="167"/>
      <c r="BC191" s="160"/>
      <c r="BD191" s="157"/>
      <c r="BE191" s="157"/>
      <c r="BF191" s="157"/>
      <c r="BG191" s="157"/>
      <c r="BH191" s="157"/>
      <c r="BI191" s="162"/>
      <c r="BJ191" s="157" t="str">
        <f t="shared" si="240"/>
        <v>钦北区人民政府3月</v>
      </c>
      <c r="BK191" s="157" t="s">
        <v>205</v>
      </c>
      <c r="BL191" s="157" t="s">
        <v>2140</v>
      </c>
      <c r="BM191" s="201" t="str">
        <f t="shared" si="241"/>
        <v>政府钦北区人民政府</v>
      </c>
      <c r="BN191" s="201" t="str">
        <f t="shared" si="242"/>
        <v>民生设施钦北区人民政府</v>
      </c>
      <c r="BO191" s="201">
        <f t="shared" si="243"/>
        <v>0</v>
      </c>
      <c r="BP191" s="157"/>
      <c r="BQ191" s="157">
        <f t="shared" si="244"/>
        <v>1</v>
      </c>
      <c r="BR191" s="157">
        <f t="shared" si="245"/>
        <v>0</v>
      </c>
      <c r="BS191" s="157">
        <f t="shared" si="246"/>
        <v>0</v>
      </c>
      <c r="BT191" s="157">
        <f t="shared" si="247"/>
        <v>0</v>
      </c>
      <c r="BU191" s="157">
        <f t="shared" si="248"/>
        <v>0</v>
      </c>
      <c r="BV191" s="162"/>
      <c r="BW191" s="206"/>
    </row>
    <row r="192" s="10" customFormat="1" ht="65.25" customHeight="1" spans="1:75">
      <c r="A192" s="23">
        <f>SUBTOTAL(3,C$10:C192)</f>
        <v>151</v>
      </c>
      <c r="B192" s="55" t="s">
        <v>1791</v>
      </c>
      <c r="C192" s="55" t="s">
        <v>79</v>
      </c>
      <c r="D192" s="55" t="s">
        <v>1792</v>
      </c>
      <c r="E192" s="55" t="s">
        <v>112</v>
      </c>
      <c r="F192" s="36">
        <v>6100</v>
      </c>
      <c r="G192" s="36"/>
      <c r="H192" s="81" t="s">
        <v>82</v>
      </c>
      <c r="I192" s="81"/>
      <c r="J192" s="81"/>
      <c r="K192" s="81"/>
      <c r="L192" s="35">
        <v>1000</v>
      </c>
      <c r="M192" s="35"/>
      <c r="N192" s="34" t="s">
        <v>1786</v>
      </c>
      <c r="O192" s="127"/>
      <c r="P192" s="78"/>
      <c r="Q192" s="809" t="s">
        <v>115</v>
      </c>
      <c r="R192" s="809" t="s">
        <v>115</v>
      </c>
      <c r="S192" s="769"/>
      <c r="T192" s="769"/>
      <c r="U192" s="769"/>
      <c r="V192" s="769"/>
      <c r="W192" s="769"/>
      <c r="X192" s="55"/>
      <c r="Y192" s="55"/>
      <c r="Z192" s="132">
        <v>51</v>
      </c>
      <c r="AA192" s="132">
        <v>51</v>
      </c>
      <c r="AB192" s="132"/>
      <c r="AC192" s="132"/>
      <c r="AD192" s="132"/>
      <c r="AE192" s="132"/>
      <c r="AF192" s="132"/>
      <c r="AG192" s="132"/>
      <c r="AH192" s="132"/>
      <c r="AI192" s="132"/>
      <c r="AJ192" s="132"/>
      <c r="AK192" s="132"/>
      <c r="AL192" s="132"/>
      <c r="AM192" s="132"/>
      <c r="AN192" s="132"/>
      <c r="AO192" s="132"/>
      <c r="AP192" s="132"/>
      <c r="AQ192" s="90"/>
      <c r="AR192" s="34" t="s">
        <v>1793</v>
      </c>
      <c r="AS192" s="34" t="s">
        <v>1790</v>
      </c>
      <c r="AT192" s="35" t="s">
        <v>2141</v>
      </c>
      <c r="AU192" s="35" t="s">
        <v>375</v>
      </c>
      <c r="AV192" s="93"/>
      <c r="AW192" s="157"/>
      <c r="AX192" s="158" t="s">
        <v>2138</v>
      </c>
      <c r="AY192" s="158" t="s">
        <v>2139</v>
      </c>
      <c r="AZ192" s="158" t="str">
        <f t="shared" si="238"/>
        <v>社会事业教育</v>
      </c>
      <c r="BA192" s="92" t="str">
        <f t="shared" si="239"/>
        <v>教育</v>
      </c>
      <c r="BB192" s="167"/>
      <c r="BC192" s="160"/>
      <c r="BD192" s="157"/>
      <c r="BE192" s="157"/>
      <c r="BF192" s="157"/>
      <c r="BG192" s="157"/>
      <c r="BH192" s="157"/>
      <c r="BI192" s="162"/>
      <c r="BJ192" s="157" t="str">
        <f t="shared" si="240"/>
        <v>钦北区人民政府10月</v>
      </c>
      <c r="BK192" s="157" t="s">
        <v>205</v>
      </c>
      <c r="BL192" s="157" t="s">
        <v>2140</v>
      </c>
      <c r="BM192" s="201" t="str">
        <f t="shared" si="241"/>
        <v>政府钦北区人民政府</v>
      </c>
      <c r="BN192" s="201" t="str">
        <f t="shared" si="242"/>
        <v>民生设施钦北区人民政府</v>
      </c>
      <c r="BO192" s="201">
        <f t="shared" si="243"/>
        <v>0</v>
      </c>
      <c r="BP192" s="157"/>
      <c r="BQ192" s="157">
        <f t="shared" si="244"/>
        <v>1</v>
      </c>
      <c r="BR192" s="157">
        <f t="shared" si="245"/>
        <v>0</v>
      </c>
      <c r="BS192" s="157">
        <f t="shared" si="246"/>
        <v>0</v>
      </c>
      <c r="BT192" s="157">
        <f t="shared" si="247"/>
        <v>0</v>
      </c>
      <c r="BU192" s="157">
        <f t="shared" si="248"/>
        <v>0</v>
      </c>
      <c r="BV192" s="162"/>
      <c r="BW192" s="206"/>
    </row>
    <row r="193" s="10" customFormat="1" ht="65.25" customHeight="1" spans="1:75">
      <c r="A193" s="23">
        <f>SUBTOTAL(3,C$10:C193)</f>
        <v>152</v>
      </c>
      <c r="B193" s="55" t="s">
        <v>1794</v>
      </c>
      <c r="C193" s="55" t="s">
        <v>79</v>
      </c>
      <c r="D193" s="55" t="s">
        <v>1795</v>
      </c>
      <c r="E193" s="55" t="s">
        <v>112</v>
      </c>
      <c r="F193" s="36">
        <v>1350</v>
      </c>
      <c r="G193" s="36"/>
      <c r="H193" s="81" t="s">
        <v>195</v>
      </c>
      <c r="I193" s="81"/>
      <c r="J193" s="37">
        <v>100</v>
      </c>
      <c r="K193" s="37">
        <v>350</v>
      </c>
      <c r="L193" s="35">
        <v>600</v>
      </c>
      <c r="M193" s="35"/>
      <c r="N193" s="34" t="s">
        <v>1786</v>
      </c>
      <c r="O193" s="127"/>
      <c r="P193" s="78"/>
      <c r="Q193" s="809" t="s">
        <v>115</v>
      </c>
      <c r="R193" s="809" t="s">
        <v>115</v>
      </c>
      <c r="S193" s="769"/>
      <c r="T193" s="769"/>
      <c r="U193" s="769"/>
      <c r="V193" s="769"/>
      <c r="W193" s="769"/>
      <c r="X193" s="55"/>
      <c r="Y193" s="55"/>
      <c r="Z193" s="132">
        <v>51</v>
      </c>
      <c r="AA193" s="132">
        <v>51</v>
      </c>
      <c r="AB193" s="132"/>
      <c r="AC193" s="132"/>
      <c r="AD193" s="132"/>
      <c r="AE193" s="132"/>
      <c r="AF193" s="132"/>
      <c r="AG193" s="132"/>
      <c r="AH193" s="132"/>
      <c r="AI193" s="132"/>
      <c r="AJ193" s="132"/>
      <c r="AK193" s="132"/>
      <c r="AL193" s="132"/>
      <c r="AM193" s="132"/>
      <c r="AN193" s="132"/>
      <c r="AO193" s="132"/>
      <c r="AP193" s="132"/>
      <c r="AQ193" s="90"/>
      <c r="AR193" s="34" t="s">
        <v>1796</v>
      </c>
      <c r="AS193" s="34" t="s">
        <v>2142</v>
      </c>
      <c r="AT193" s="35" t="s">
        <v>2143</v>
      </c>
      <c r="AU193" s="35" t="s">
        <v>375</v>
      </c>
      <c r="AV193" s="93"/>
      <c r="AW193" s="157"/>
      <c r="AX193" s="158" t="s">
        <v>2138</v>
      </c>
      <c r="AY193" s="158" t="s">
        <v>2139</v>
      </c>
      <c r="AZ193" s="158" t="str">
        <f t="shared" si="238"/>
        <v>社会事业教育</v>
      </c>
      <c r="BA193" s="92" t="str">
        <f t="shared" si="239"/>
        <v>教育</v>
      </c>
      <c r="BB193" s="167"/>
      <c r="BC193" s="160"/>
      <c r="BD193" s="157"/>
      <c r="BE193" s="157"/>
      <c r="BF193" s="157"/>
      <c r="BG193" s="157"/>
      <c r="BH193" s="157"/>
      <c r="BI193" s="162"/>
      <c r="BJ193" s="157" t="str">
        <f t="shared" si="240"/>
        <v>钦北区人民政府3月</v>
      </c>
      <c r="BK193" s="157" t="s">
        <v>205</v>
      </c>
      <c r="BL193" s="157" t="s">
        <v>2140</v>
      </c>
      <c r="BM193" s="201" t="str">
        <f t="shared" si="241"/>
        <v>政府钦北区人民政府</v>
      </c>
      <c r="BN193" s="201" t="str">
        <f t="shared" si="242"/>
        <v>民生设施钦北区人民政府</v>
      </c>
      <c r="BO193" s="201">
        <f t="shared" si="243"/>
        <v>0</v>
      </c>
      <c r="BP193" s="157"/>
      <c r="BQ193" s="157">
        <f t="shared" si="244"/>
        <v>1</v>
      </c>
      <c r="BR193" s="157">
        <f t="shared" si="245"/>
        <v>0</v>
      </c>
      <c r="BS193" s="157">
        <f t="shared" si="246"/>
        <v>0</v>
      </c>
      <c r="BT193" s="157">
        <f t="shared" si="247"/>
        <v>0</v>
      </c>
      <c r="BU193" s="157">
        <f t="shared" si="248"/>
        <v>0</v>
      </c>
      <c r="BV193" s="162"/>
      <c r="BW193" s="206"/>
    </row>
    <row r="194" ht="62.25" customHeight="1" spans="1:81">
      <c r="A194" s="23">
        <f>SUBTOTAL(3,C$10:C194)</f>
        <v>153</v>
      </c>
      <c r="B194" s="55" t="s">
        <v>1764</v>
      </c>
      <c r="C194" s="35" t="s">
        <v>79</v>
      </c>
      <c r="D194" s="55" t="s">
        <v>1765</v>
      </c>
      <c r="E194" s="35" t="s">
        <v>112</v>
      </c>
      <c r="F194" s="36">
        <v>16000</v>
      </c>
      <c r="G194" s="36"/>
      <c r="H194" s="81" t="s">
        <v>144</v>
      </c>
      <c r="I194" s="37"/>
      <c r="J194" s="37">
        <v>300</v>
      </c>
      <c r="K194" s="37">
        <v>1200</v>
      </c>
      <c r="L194" s="36">
        <v>2000</v>
      </c>
      <c r="M194" s="36"/>
      <c r="N194" s="112" t="s">
        <v>1724</v>
      </c>
      <c r="O194" s="111"/>
      <c r="P194" s="67"/>
      <c r="Q194" s="115" t="s">
        <v>115</v>
      </c>
      <c r="R194" s="115" t="s">
        <v>115</v>
      </c>
      <c r="S194" s="115" t="s">
        <v>115</v>
      </c>
      <c r="T194" s="115" t="s">
        <v>115</v>
      </c>
      <c r="U194" s="115" t="s">
        <v>115</v>
      </c>
      <c r="V194" s="115" t="s">
        <v>115</v>
      </c>
      <c r="W194" s="115" t="s">
        <v>115</v>
      </c>
      <c r="X194" s="90" t="s">
        <v>1766</v>
      </c>
      <c r="Y194" s="90" t="s">
        <v>1767</v>
      </c>
      <c r="Z194" s="132">
        <v>42</v>
      </c>
      <c r="AA194" s="132">
        <v>42</v>
      </c>
      <c r="AB194" s="132"/>
      <c r="AC194" s="132"/>
      <c r="AD194" s="132"/>
      <c r="AE194" s="132"/>
      <c r="AF194" s="132"/>
      <c r="AG194" s="132"/>
      <c r="AH194" s="132"/>
      <c r="AI194" s="132">
        <v>50</v>
      </c>
      <c r="AJ194" s="132">
        <v>41</v>
      </c>
      <c r="AK194" s="132">
        <v>9</v>
      </c>
      <c r="AL194" s="132"/>
      <c r="AM194" s="132"/>
      <c r="AN194" s="132"/>
      <c r="AO194" s="132"/>
      <c r="AP194" s="132"/>
      <c r="AQ194" s="90"/>
      <c r="AR194" s="112" t="s">
        <v>1768</v>
      </c>
      <c r="AS194" s="34" t="s">
        <v>1321</v>
      </c>
      <c r="AT194" s="35" t="s">
        <v>2144</v>
      </c>
      <c r="AU194" s="35" t="s">
        <v>269</v>
      </c>
      <c r="AV194" s="93"/>
      <c r="AW194" s="157"/>
      <c r="AX194" s="158" t="s">
        <v>2138</v>
      </c>
      <c r="AY194" s="158" t="s">
        <v>2139</v>
      </c>
      <c r="AZ194" s="158" t="str">
        <f t="shared" si="238"/>
        <v>社会事业教育</v>
      </c>
      <c r="BA194" s="92" t="str">
        <f t="shared" si="239"/>
        <v>教育</v>
      </c>
      <c r="BB194" s="159"/>
      <c r="BC194" s="160"/>
      <c r="BD194" s="157"/>
      <c r="BE194" s="157"/>
      <c r="BF194" s="157"/>
      <c r="BG194" s="157"/>
      <c r="BH194" s="157"/>
      <c r="BI194" s="181"/>
      <c r="BJ194" s="157" t="str">
        <f t="shared" si="240"/>
        <v>灵山县人民政府5月</v>
      </c>
      <c r="BK194" s="157" t="s">
        <v>205</v>
      </c>
      <c r="BL194" s="157" t="s">
        <v>2140</v>
      </c>
      <c r="BM194" s="201" t="str">
        <f t="shared" si="241"/>
        <v>政府灵山县人民政府</v>
      </c>
      <c r="BN194" s="201" t="str">
        <f t="shared" si="242"/>
        <v>民生设施灵山县人民政府</v>
      </c>
      <c r="BO194" s="201"/>
      <c r="BP194" s="157"/>
      <c r="BQ194" s="157">
        <f t="shared" si="244"/>
        <v>1</v>
      </c>
      <c r="BR194" s="157">
        <f t="shared" si="245"/>
        <v>0</v>
      </c>
      <c r="BS194" s="157">
        <f t="shared" si="246"/>
        <v>0</v>
      </c>
      <c r="BT194" s="157">
        <f t="shared" si="247"/>
        <v>1</v>
      </c>
      <c r="BU194" s="157">
        <f t="shared" si="248"/>
        <v>0</v>
      </c>
      <c r="BV194" s="181"/>
      <c r="BW194" s="206"/>
      <c r="BY194" s="4"/>
      <c r="BZ194" s="4"/>
      <c r="CA194" s="4"/>
      <c r="CB194" s="4"/>
      <c r="CC194" s="4"/>
    </row>
    <row r="195" ht="60.6" customHeight="1" spans="1:81">
      <c r="A195" s="23">
        <f>SUBTOTAL(3,C$10:C195)</f>
        <v>154</v>
      </c>
      <c r="B195" s="55" t="s">
        <v>1769</v>
      </c>
      <c r="C195" s="35" t="s">
        <v>79</v>
      </c>
      <c r="D195" s="55" t="s">
        <v>1770</v>
      </c>
      <c r="E195" s="35">
        <v>2019</v>
      </c>
      <c r="F195" s="35">
        <v>1180</v>
      </c>
      <c r="G195" s="35"/>
      <c r="H195" s="67" t="s">
        <v>195</v>
      </c>
      <c r="I195" s="67">
        <v>150</v>
      </c>
      <c r="J195" s="67">
        <v>500</v>
      </c>
      <c r="K195" s="67">
        <v>800</v>
      </c>
      <c r="L195" s="257">
        <v>1180</v>
      </c>
      <c r="M195" s="257"/>
      <c r="N195" s="112" t="s">
        <v>1012</v>
      </c>
      <c r="O195" s="111"/>
      <c r="P195" s="67"/>
      <c r="Q195" s="115" t="s">
        <v>115</v>
      </c>
      <c r="R195" s="115"/>
      <c r="S195" s="115"/>
      <c r="T195" s="115"/>
      <c r="U195" s="115"/>
      <c r="V195" s="115"/>
      <c r="W195" s="115" t="s">
        <v>115</v>
      </c>
      <c r="X195" s="90"/>
      <c r="Y195" s="90" t="s">
        <v>117</v>
      </c>
      <c r="Z195" s="132"/>
      <c r="AA195" s="132"/>
      <c r="AB195" s="132"/>
      <c r="AC195" s="132"/>
      <c r="AD195" s="132"/>
      <c r="AE195" s="132"/>
      <c r="AF195" s="132"/>
      <c r="AG195" s="132"/>
      <c r="AH195" s="132"/>
      <c r="AI195" s="132"/>
      <c r="AJ195" s="132"/>
      <c r="AK195" s="132"/>
      <c r="AL195" s="132"/>
      <c r="AM195" s="132"/>
      <c r="AN195" s="132"/>
      <c r="AO195" s="132"/>
      <c r="AP195" s="132"/>
      <c r="AQ195" s="90"/>
      <c r="AR195" s="112" t="s">
        <v>117</v>
      </c>
      <c r="AS195" s="34" t="s">
        <v>1321</v>
      </c>
      <c r="AT195" s="35" t="s">
        <v>2035</v>
      </c>
      <c r="AU195" s="35" t="s">
        <v>269</v>
      </c>
      <c r="AV195" s="93"/>
      <c r="AW195" s="157"/>
      <c r="AX195" s="158" t="s">
        <v>2138</v>
      </c>
      <c r="AY195" s="158" t="s">
        <v>2139</v>
      </c>
      <c r="AZ195" s="158" t="str">
        <f t="shared" si="238"/>
        <v>社会事业教育</v>
      </c>
      <c r="BA195" s="92" t="str">
        <f t="shared" si="239"/>
        <v>教育</v>
      </c>
      <c r="BB195" s="159"/>
      <c r="BC195" s="160"/>
      <c r="BD195" s="157"/>
      <c r="BE195" s="157"/>
      <c r="BF195" s="157"/>
      <c r="BG195" s="157"/>
      <c r="BH195" s="157"/>
      <c r="BI195" s="181"/>
      <c r="BJ195" s="157" t="str">
        <f t="shared" si="240"/>
        <v>灵山县人民政府3月</v>
      </c>
      <c r="BK195" s="157" t="s">
        <v>205</v>
      </c>
      <c r="BL195" s="157" t="s">
        <v>2140</v>
      </c>
      <c r="BM195" s="201" t="str">
        <f t="shared" si="241"/>
        <v>政府灵山县人民政府</v>
      </c>
      <c r="BN195" s="201" t="str">
        <f t="shared" si="242"/>
        <v>民生设施灵山县人民政府</v>
      </c>
      <c r="BO195" s="201"/>
      <c r="BP195" s="157"/>
      <c r="BQ195" s="157">
        <f t="shared" si="244"/>
        <v>0</v>
      </c>
      <c r="BR195" s="157">
        <f t="shared" si="245"/>
        <v>0</v>
      </c>
      <c r="BS195" s="157">
        <f t="shared" si="246"/>
        <v>0</v>
      </c>
      <c r="BT195" s="157">
        <f t="shared" si="247"/>
        <v>0</v>
      </c>
      <c r="BU195" s="157">
        <f t="shared" si="248"/>
        <v>0</v>
      </c>
      <c r="BV195" s="181"/>
      <c r="BW195" s="206"/>
      <c r="BY195" s="4"/>
      <c r="BZ195" s="4"/>
      <c r="CA195" s="4"/>
      <c r="CB195" s="4"/>
      <c r="CC195" s="4"/>
    </row>
    <row r="196" s="9" customFormat="1" ht="18.75" customHeight="1" spans="1:74">
      <c r="A196" s="551"/>
      <c r="B196" s="557" t="str">
        <f>"卫生（"&amp;SUBTOTAL(3,C197:C200)&amp;"个）"</f>
        <v>卫生（4个）</v>
      </c>
      <c r="C196" s="551"/>
      <c r="D196" s="554"/>
      <c r="E196" s="551"/>
      <c r="F196" s="134">
        <f t="shared" ref="F196:M196" si="249">SUBTOTAL(9,F197:F200)</f>
        <v>36420</v>
      </c>
      <c r="G196" s="134"/>
      <c r="H196" s="134"/>
      <c r="I196" s="134">
        <f t="shared" si="249"/>
        <v>200</v>
      </c>
      <c r="J196" s="134">
        <f t="shared" si="249"/>
        <v>1200</v>
      </c>
      <c r="K196" s="134">
        <f t="shared" si="249"/>
        <v>3000</v>
      </c>
      <c r="L196" s="134">
        <f t="shared" si="249"/>
        <v>6500</v>
      </c>
      <c r="M196" s="134">
        <f t="shared" si="249"/>
        <v>0</v>
      </c>
      <c r="N196" s="591"/>
      <c r="O196" s="134"/>
      <c r="P196" s="118"/>
      <c r="Q196" s="115"/>
      <c r="R196" s="115"/>
      <c r="S196" s="115"/>
      <c r="T196" s="115"/>
      <c r="U196" s="115"/>
      <c r="V196" s="115"/>
      <c r="W196" s="115"/>
      <c r="X196" s="90"/>
      <c r="Y196" s="90"/>
      <c r="Z196" s="132"/>
      <c r="AA196" s="132"/>
      <c r="AB196" s="132"/>
      <c r="AC196" s="132"/>
      <c r="AD196" s="132"/>
      <c r="AE196" s="132"/>
      <c r="AF196" s="132"/>
      <c r="AG196" s="132"/>
      <c r="AH196" s="132"/>
      <c r="AI196" s="132"/>
      <c r="AJ196" s="132"/>
      <c r="AK196" s="132"/>
      <c r="AL196" s="132"/>
      <c r="AM196" s="132"/>
      <c r="AN196" s="132"/>
      <c r="AO196" s="132"/>
      <c r="AP196" s="132"/>
      <c r="AQ196" s="90"/>
      <c r="AR196" s="112"/>
      <c r="AS196" s="591"/>
      <c r="AT196" s="134"/>
      <c r="AU196" s="134"/>
      <c r="AV196" s="93"/>
      <c r="AW196" s="165"/>
      <c r="AX196" s="158"/>
      <c r="AY196" s="158"/>
      <c r="AZ196" s="158"/>
      <c r="BA196" s="158"/>
      <c r="BB196" s="169"/>
      <c r="BC196" s="165"/>
      <c r="BD196" s="165"/>
      <c r="BE196" s="165"/>
      <c r="BF196" s="169"/>
      <c r="BG196" s="169"/>
      <c r="BH196" s="169"/>
      <c r="BI196" s="183"/>
      <c r="BJ196" s="165"/>
      <c r="BK196" s="157"/>
      <c r="BL196" s="157"/>
      <c r="BN196" s="201"/>
      <c r="BO196" s="7"/>
      <c r="BP196" s="157"/>
      <c r="BQ196" s="157"/>
      <c r="BR196" s="157"/>
      <c r="BS196" s="157"/>
      <c r="BT196" s="157"/>
      <c r="BU196" s="157"/>
      <c r="BV196" s="183"/>
    </row>
    <row r="197" ht="63" customHeight="1" spans="1:81">
      <c r="A197" s="23">
        <f>SUBTOTAL(3,C$10:C197)</f>
        <v>155</v>
      </c>
      <c r="B197" s="60" t="s">
        <v>1808</v>
      </c>
      <c r="C197" s="23" t="s">
        <v>79</v>
      </c>
      <c r="D197" s="88" t="s">
        <v>1809</v>
      </c>
      <c r="E197" s="23" t="s">
        <v>143</v>
      </c>
      <c r="F197" s="67">
        <v>2600</v>
      </c>
      <c r="G197" s="67"/>
      <c r="H197" s="67" t="s">
        <v>82</v>
      </c>
      <c r="I197" s="67"/>
      <c r="J197" s="67"/>
      <c r="K197" s="67"/>
      <c r="L197" s="67">
        <v>500</v>
      </c>
      <c r="M197" s="67"/>
      <c r="N197" s="123" t="s">
        <v>1810</v>
      </c>
      <c r="O197" s="111"/>
      <c r="P197" s="67"/>
      <c r="Q197" s="115" t="s">
        <v>115</v>
      </c>
      <c r="R197" s="115" t="s">
        <v>115</v>
      </c>
      <c r="S197" s="115"/>
      <c r="T197" s="115"/>
      <c r="U197" s="115" t="s">
        <v>115</v>
      </c>
      <c r="V197" s="115" t="s">
        <v>115</v>
      </c>
      <c r="W197" s="115"/>
      <c r="X197" s="90" t="s">
        <v>2145</v>
      </c>
      <c r="Y197" s="90" t="s">
        <v>117</v>
      </c>
      <c r="Z197" s="132">
        <v>130</v>
      </c>
      <c r="AA197" s="132"/>
      <c r="AB197" s="132">
        <v>130</v>
      </c>
      <c r="AC197" s="132"/>
      <c r="AD197" s="132"/>
      <c r="AE197" s="132"/>
      <c r="AF197" s="132"/>
      <c r="AG197" s="132"/>
      <c r="AH197" s="132"/>
      <c r="AI197" s="132">
        <v>87</v>
      </c>
      <c r="AJ197" s="132">
        <v>51</v>
      </c>
      <c r="AK197" s="132">
        <v>36</v>
      </c>
      <c r="AL197" s="132"/>
      <c r="AM197" s="132"/>
      <c r="AN197" s="132"/>
      <c r="AO197" s="132"/>
      <c r="AP197" s="132"/>
      <c r="AQ197" s="90"/>
      <c r="AR197" s="112" t="s">
        <v>737</v>
      </c>
      <c r="AS197" s="34" t="s">
        <v>1811</v>
      </c>
      <c r="AT197" s="35" t="s">
        <v>2146</v>
      </c>
      <c r="AU197" s="35" t="s">
        <v>359</v>
      </c>
      <c r="AV197" s="93"/>
      <c r="AW197" s="157"/>
      <c r="AX197" s="158" t="s">
        <v>2147</v>
      </c>
      <c r="AY197" s="158" t="s">
        <v>2139</v>
      </c>
      <c r="AZ197" s="158" t="str">
        <f t="shared" ref="AZ197:AZ200" si="250">AY197&amp;AX197</f>
        <v>社会事业卫生</v>
      </c>
      <c r="BA197" s="92" t="str">
        <f t="shared" ref="BA197:BA200" si="251">AX197</f>
        <v>卫生</v>
      </c>
      <c r="BB197" s="159"/>
      <c r="BC197" s="160"/>
      <c r="BD197" s="157"/>
      <c r="BE197" s="157"/>
      <c r="BF197" s="157"/>
      <c r="BG197" s="157"/>
      <c r="BH197" s="157"/>
      <c r="BI197" s="181"/>
      <c r="BJ197" s="157" t="str">
        <f t="shared" ref="BJ197:BJ200" si="252">AU197&amp;H197</f>
        <v>钦南区人民政府10月</v>
      </c>
      <c r="BK197" s="157" t="s">
        <v>205</v>
      </c>
      <c r="BL197" s="157" t="s">
        <v>2140</v>
      </c>
      <c r="BM197" s="201" t="str">
        <f t="shared" ref="BM197:BM200" si="253">BK197&amp;AU197</f>
        <v>政府钦南区人民政府</v>
      </c>
      <c r="BN197" s="201" t="str">
        <f t="shared" ref="BN197:BN200" si="254">BL197&amp;AU197</f>
        <v>民生设施钦南区人民政府</v>
      </c>
      <c r="BO197" s="201"/>
      <c r="BP197" s="157"/>
      <c r="BQ197" s="157">
        <f t="shared" ref="BQ197:BQ200" si="255">IF(Z197&gt;0,1,0)</f>
        <v>1</v>
      </c>
      <c r="BR197" s="157">
        <f t="shared" ref="BR197:BR200" si="256">IF(AF197&gt;0,1,0)</f>
        <v>0</v>
      </c>
      <c r="BS197" s="157">
        <f t="shared" ref="BS197:BS200" si="257">IF(AC197&gt;0,1,0)</f>
        <v>0</v>
      </c>
      <c r="BT197" s="157">
        <f t="shared" ref="BT197:BT200" si="258">IF(AI197&gt;0,1,0)</f>
        <v>1</v>
      </c>
      <c r="BU197" s="157">
        <f t="shared" ref="BU197:BU200" si="259">IF(AL197&gt;0,1,0)</f>
        <v>0</v>
      </c>
      <c r="BV197" s="181"/>
      <c r="BW197" s="206"/>
      <c r="BY197" s="4"/>
      <c r="BZ197" s="4"/>
      <c r="CA197" s="4"/>
      <c r="CB197" s="4"/>
      <c r="CC197" s="4"/>
    </row>
    <row r="198" ht="63" customHeight="1" spans="1:81">
      <c r="A198" s="23">
        <f>SUBTOTAL(3,C$10:C198)</f>
        <v>156</v>
      </c>
      <c r="B198" s="55" t="s">
        <v>1717</v>
      </c>
      <c r="C198" s="35" t="s">
        <v>79</v>
      </c>
      <c r="D198" s="55" t="s">
        <v>1718</v>
      </c>
      <c r="E198" s="35" t="s">
        <v>112</v>
      </c>
      <c r="F198" s="36">
        <v>17320</v>
      </c>
      <c r="G198" s="36"/>
      <c r="H198" s="81" t="s">
        <v>82</v>
      </c>
      <c r="I198" s="81"/>
      <c r="J198" s="81"/>
      <c r="K198" s="81"/>
      <c r="L198" s="36">
        <v>1000</v>
      </c>
      <c r="M198" s="36"/>
      <c r="N198" s="58" t="s">
        <v>775</v>
      </c>
      <c r="O198" s="111"/>
      <c r="P198" s="67"/>
      <c r="Q198" s="115" t="s">
        <v>115</v>
      </c>
      <c r="R198" s="115" t="s">
        <v>115</v>
      </c>
      <c r="S198" s="115"/>
      <c r="T198" s="115"/>
      <c r="U198" s="115" t="s">
        <v>115</v>
      </c>
      <c r="V198" s="115" t="s">
        <v>115</v>
      </c>
      <c r="W198" s="115"/>
      <c r="X198" s="90" t="s">
        <v>2145</v>
      </c>
      <c r="Y198" s="90" t="s">
        <v>117</v>
      </c>
      <c r="Z198" s="132">
        <v>130</v>
      </c>
      <c r="AA198" s="132"/>
      <c r="AB198" s="132">
        <v>130</v>
      </c>
      <c r="AC198" s="132"/>
      <c r="AD198" s="132"/>
      <c r="AE198" s="132"/>
      <c r="AF198" s="132"/>
      <c r="AG198" s="132"/>
      <c r="AH198" s="132"/>
      <c r="AI198" s="132">
        <v>87</v>
      </c>
      <c r="AJ198" s="132">
        <v>51</v>
      </c>
      <c r="AK198" s="132">
        <v>36</v>
      </c>
      <c r="AL198" s="132"/>
      <c r="AM198" s="132"/>
      <c r="AN198" s="132"/>
      <c r="AO198" s="132"/>
      <c r="AP198" s="132"/>
      <c r="AQ198" s="90"/>
      <c r="AR198" s="112" t="s">
        <v>1719</v>
      </c>
      <c r="AS198" s="34" t="s">
        <v>1720</v>
      </c>
      <c r="AT198" s="35" t="s">
        <v>2148</v>
      </c>
      <c r="AU198" s="35" t="s">
        <v>269</v>
      </c>
      <c r="AV198" s="93"/>
      <c r="AW198" s="157"/>
      <c r="AX198" s="158" t="s">
        <v>2147</v>
      </c>
      <c r="AY198" s="158" t="s">
        <v>2139</v>
      </c>
      <c r="AZ198" s="158" t="str">
        <f t="shared" si="250"/>
        <v>社会事业卫生</v>
      </c>
      <c r="BA198" s="92" t="str">
        <f t="shared" si="251"/>
        <v>卫生</v>
      </c>
      <c r="BB198" s="159"/>
      <c r="BC198" s="160"/>
      <c r="BD198" s="157"/>
      <c r="BE198" s="157"/>
      <c r="BF198" s="157"/>
      <c r="BG198" s="157"/>
      <c r="BH198" s="157"/>
      <c r="BI198" s="181"/>
      <c r="BJ198" s="157" t="str">
        <f t="shared" si="252"/>
        <v>灵山县人民政府10月</v>
      </c>
      <c r="BK198" s="157" t="s">
        <v>205</v>
      </c>
      <c r="BL198" s="157" t="s">
        <v>2140</v>
      </c>
      <c r="BM198" s="201" t="str">
        <f t="shared" si="253"/>
        <v>政府灵山县人民政府</v>
      </c>
      <c r="BN198" s="201" t="str">
        <f t="shared" si="254"/>
        <v>民生设施灵山县人民政府</v>
      </c>
      <c r="BO198" s="201"/>
      <c r="BP198" s="157"/>
      <c r="BQ198" s="157">
        <f t="shared" si="255"/>
        <v>1</v>
      </c>
      <c r="BR198" s="157">
        <f t="shared" si="256"/>
        <v>0</v>
      </c>
      <c r="BS198" s="157">
        <f t="shared" si="257"/>
        <v>0</v>
      </c>
      <c r="BT198" s="157">
        <f t="shared" si="258"/>
        <v>1</v>
      </c>
      <c r="BU198" s="157">
        <f t="shared" si="259"/>
        <v>0</v>
      </c>
      <c r="BV198" s="181"/>
      <c r="BW198" s="206"/>
      <c r="BY198" s="4"/>
      <c r="BZ198" s="4"/>
      <c r="CA198" s="4"/>
      <c r="CB198" s="4"/>
      <c r="CC198" s="4"/>
    </row>
    <row r="199" ht="63" customHeight="1" spans="1:81">
      <c r="A199" s="23">
        <f>SUBTOTAL(3,C$10:C199)</f>
        <v>157</v>
      </c>
      <c r="B199" s="55" t="s">
        <v>1722</v>
      </c>
      <c r="C199" s="35" t="s">
        <v>79</v>
      </c>
      <c r="D199" s="55" t="s">
        <v>1723</v>
      </c>
      <c r="E199" s="35" t="s">
        <v>81</v>
      </c>
      <c r="F199" s="35">
        <v>10500</v>
      </c>
      <c r="G199" s="35"/>
      <c r="H199" s="67" t="s">
        <v>195</v>
      </c>
      <c r="I199" s="67">
        <v>200</v>
      </c>
      <c r="J199" s="67">
        <v>1200</v>
      </c>
      <c r="K199" s="67">
        <v>2500</v>
      </c>
      <c r="L199" s="257">
        <v>4000</v>
      </c>
      <c r="M199" s="257"/>
      <c r="N199" s="58" t="s">
        <v>1724</v>
      </c>
      <c r="O199" s="111"/>
      <c r="P199" s="67"/>
      <c r="Q199" s="115" t="s">
        <v>115</v>
      </c>
      <c r="R199" s="115" t="s">
        <v>115</v>
      </c>
      <c r="S199" s="115"/>
      <c r="T199" s="115"/>
      <c r="U199" s="115" t="s">
        <v>115</v>
      </c>
      <c r="V199" s="115" t="s">
        <v>115</v>
      </c>
      <c r="W199" s="115"/>
      <c r="X199" s="90"/>
      <c r="Y199" s="90" t="s">
        <v>117</v>
      </c>
      <c r="Z199" s="132">
        <v>130</v>
      </c>
      <c r="AA199" s="132"/>
      <c r="AB199" s="132">
        <v>130</v>
      </c>
      <c r="AC199" s="132"/>
      <c r="AD199" s="132"/>
      <c r="AE199" s="132"/>
      <c r="AF199" s="132"/>
      <c r="AG199" s="132"/>
      <c r="AH199" s="132"/>
      <c r="AI199" s="132">
        <v>87</v>
      </c>
      <c r="AJ199" s="132">
        <v>51</v>
      </c>
      <c r="AK199" s="132">
        <v>36</v>
      </c>
      <c r="AL199" s="132"/>
      <c r="AM199" s="132"/>
      <c r="AN199" s="132"/>
      <c r="AO199" s="132"/>
      <c r="AP199" s="132"/>
      <c r="AQ199" s="90"/>
      <c r="AR199" s="112" t="s">
        <v>117</v>
      </c>
      <c r="AS199" s="66" t="s">
        <v>1311</v>
      </c>
      <c r="AT199" s="23" t="s">
        <v>2149</v>
      </c>
      <c r="AU199" s="35" t="s">
        <v>269</v>
      </c>
      <c r="AV199" s="93"/>
      <c r="AW199" s="157"/>
      <c r="AX199" s="158" t="s">
        <v>2147</v>
      </c>
      <c r="AY199" s="158" t="s">
        <v>2139</v>
      </c>
      <c r="AZ199" s="158" t="str">
        <f t="shared" si="250"/>
        <v>社会事业卫生</v>
      </c>
      <c r="BA199" s="92" t="str">
        <f t="shared" si="251"/>
        <v>卫生</v>
      </c>
      <c r="BB199" s="159"/>
      <c r="BC199" s="160"/>
      <c r="BD199" s="157"/>
      <c r="BE199" s="157"/>
      <c r="BF199" s="157"/>
      <c r="BG199" s="157"/>
      <c r="BH199" s="157"/>
      <c r="BI199" s="181"/>
      <c r="BJ199" s="157" t="str">
        <f t="shared" si="252"/>
        <v>灵山县人民政府3月</v>
      </c>
      <c r="BK199" s="157" t="s">
        <v>205</v>
      </c>
      <c r="BL199" s="157" t="s">
        <v>2140</v>
      </c>
      <c r="BM199" s="201" t="str">
        <f t="shared" si="253"/>
        <v>政府灵山县人民政府</v>
      </c>
      <c r="BN199" s="201" t="str">
        <f t="shared" si="254"/>
        <v>民生设施灵山县人民政府</v>
      </c>
      <c r="BO199" s="201"/>
      <c r="BP199" s="157"/>
      <c r="BQ199" s="157">
        <f t="shared" si="255"/>
        <v>1</v>
      </c>
      <c r="BR199" s="157">
        <f t="shared" si="256"/>
        <v>0</v>
      </c>
      <c r="BS199" s="157">
        <f t="shared" si="257"/>
        <v>0</v>
      </c>
      <c r="BT199" s="157">
        <f t="shared" si="258"/>
        <v>1</v>
      </c>
      <c r="BU199" s="157">
        <f t="shared" si="259"/>
        <v>0</v>
      </c>
      <c r="BV199" s="181"/>
      <c r="BW199" s="206"/>
      <c r="BY199" s="4"/>
      <c r="BZ199" s="4"/>
      <c r="CA199" s="4"/>
      <c r="CB199" s="4"/>
      <c r="CC199" s="4"/>
    </row>
    <row r="200" ht="59.25" customHeight="1" spans="1:81">
      <c r="A200" s="23">
        <f>SUBTOTAL(3,C$10:C200)</f>
        <v>158</v>
      </c>
      <c r="B200" s="55" t="s">
        <v>1852</v>
      </c>
      <c r="C200" s="35" t="s">
        <v>79</v>
      </c>
      <c r="D200" s="55" t="s">
        <v>1853</v>
      </c>
      <c r="E200" s="35" t="s">
        <v>112</v>
      </c>
      <c r="F200" s="36">
        <v>6000</v>
      </c>
      <c r="G200" s="36"/>
      <c r="H200" s="81" t="s">
        <v>113</v>
      </c>
      <c r="I200" s="81"/>
      <c r="J200" s="81"/>
      <c r="K200" s="37">
        <v>500</v>
      </c>
      <c r="L200" s="36">
        <v>1000</v>
      </c>
      <c r="M200" s="36"/>
      <c r="N200" s="112" t="s">
        <v>178</v>
      </c>
      <c r="O200" s="67"/>
      <c r="P200" s="118"/>
      <c r="Q200" s="115" t="s">
        <v>115</v>
      </c>
      <c r="R200" s="115" t="s">
        <v>115</v>
      </c>
      <c r="S200" s="115"/>
      <c r="T200" s="115"/>
      <c r="U200" s="115"/>
      <c r="V200" s="115"/>
      <c r="W200" s="115"/>
      <c r="X200" s="55" t="s">
        <v>2150</v>
      </c>
      <c r="Y200" s="55" t="s">
        <v>2151</v>
      </c>
      <c r="Z200" s="132">
        <v>20</v>
      </c>
      <c r="AA200" s="132">
        <v>20</v>
      </c>
      <c r="AB200" s="132"/>
      <c r="AC200" s="132"/>
      <c r="AD200" s="132"/>
      <c r="AE200" s="132"/>
      <c r="AF200" s="132"/>
      <c r="AG200" s="132"/>
      <c r="AH200" s="132"/>
      <c r="AI200" s="132"/>
      <c r="AJ200" s="132"/>
      <c r="AK200" s="132"/>
      <c r="AL200" s="132"/>
      <c r="AM200" s="132"/>
      <c r="AN200" s="132"/>
      <c r="AO200" s="132"/>
      <c r="AP200" s="132"/>
      <c r="AQ200" s="90"/>
      <c r="AR200" s="34" t="s">
        <v>1854</v>
      </c>
      <c r="AS200" s="34" t="s">
        <v>1855</v>
      </c>
      <c r="AT200" s="35" t="s">
        <v>2152</v>
      </c>
      <c r="AU200" s="35" t="s">
        <v>269</v>
      </c>
      <c r="AV200" s="93"/>
      <c r="AW200" s="157"/>
      <c r="AX200" s="158" t="s">
        <v>2147</v>
      </c>
      <c r="AY200" s="158" t="s">
        <v>2139</v>
      </c>
      <c r="AZ200" s="158" t="str">
        <f t="shared" si="250"/>
        <v>社会事业卫生</v>
      </c>
      <c r="BA200" s="92" t="str">
        <f t="shared" si="251"/>
        <v>卫生</v>
      </c>
      <c r="BB200" s="272"/>
      <c r="BC200" s="160"/>
      <c r="BD200" s="157"/>
      <c r="BE200" s="157"/>
      <c r="BF200" s="157"/>
      <c r="BG200" s="157"/>
      <c r="BH200" s="157"/>
      <c r="BI200" s="181"/>
      <c r="BJ200" s="157" t="str">
        <f t="shared" si="252"/>
        <v>灵山县人民政府9月</v>
      </c>
      <c r="BK200" s="157" t="s">
        <v>92</v>
      </c>
      <c r="BL200" s="157" t="s">
        <v>2140</v>
      </c>
      <c r="BM200" s="201" t="str">
        <f t="shared" si="253"/>
        <v>企业灵山县人民政府</v>
      </c>
      <c r="BN200" s="201" t="str">
        <f t="shared" si="254"/>
        <v>民生设施灵山县人民政府</v>
      </c>
      <c r="BO200" s="201">
        <f>IF(O200&gt;0,1,0)</f>
        <v>0</v>
      </c>
      <c r="BP200" s="157"/>
      <c r="BQ200" s="157">
        <f t="shared" si="255"/>
        <v>1</v>
      </c>
      <c r="BR200" s="157">
        <f t="shared" si="256"/>
        <v>0</v>
      </c>
      <c r="BS200" s="157">
        <f t="shared" si="257"/>
        <v>0</v>
      </c>
      <c r="BT200" s="157">
        <f t="shared" si="258"/>
        <v>0</v>
      </c>
      <c r="BU200" s="157">
        <f t="shared" si="259"/>
        <v>0</v>
      </c>
      <c r="BV200" s="181"/>
      <c r="BW200" s="206"/>
      <c r="BX200" s="4" t="s">
        <v>1904</v>
      </c>
      <c r="BY200" s="4"/>
      <c r="BZ200" s="4"/>
      <c r="CA200" s="4"/>
      <c r="CB200" s="4"/>
      <c r="CC200" s="4"/>
    </row>
    <row r="201" s="9" customFormat="1" ht="18.75" customHeight="1" spans="1:74">
      <c r="A201" s="551"/>
      <c r="B201" s="557" t="str">
        <f>"文化（"&amp;SUBTOTAL(3,C202)&amp;"个）"</f>
        <v>文化（1个）</v>
      </c>
      <c r="C201" s="551"/>
      <c r="D201" s="554"/>
      <c r="E201" s="551"/>
      <c r="F201" s="134">
        <f t="shared" ref="F201:M201" si="260">SUBTOTAL(9,F202)</f>
        <v>5000</v>
      </c>
      <c r="G201" s="134"/>
      <c r="H201" s="134"/>
      <c r="I201" s="134">
        <f t="shared" si="260"/>
        <v>0</v>
      </c>
      <c r="J201" s="134">
        <f t="shared" si="260"/>
        <v>500</v>
      </c>
      <c r="K201" s="134">
        <f t="shared" si="260"/>
        <v>1800</v>
      </c>
      <c r="L201" s="134">
        <f t="shared" si="260"/>
        <v>3000</v>
      </c>
      <c r="M201" s="134">
        <f t="shared" si="260"/>
        <v>0</v>
      </c>
      <c r="N201" s="591"/>
      <c r="O201" s="134"/>
      <c r="P201" s="118"/>
      <c r="Q201" s="115"/>
      <c r="R201" s="115"/>
      <c r="S201" s="115"/>
      <c r="T201" s="115"/>
      <c r="U201" s="115"/>
      <c r="V201" s="115"/>
      <c r="W201" s="115"/>
      <c r="X201" s="90"/>
      <c r="Y201" s="90"/>
      <c r="Z201" s="132"/>
      <c r="AA201" s="132"/>
      <c r="AB201" s="132"/>
      <c r="AC201" s="132"/>
      <c r="AD201" s="132"/>
      <c r="AE201" s="132"/>
      <c r="AF201" s="132"/>
      <c r="AG201" s="132"/>
      <c r="AH201" s="132"/>
      <c r="AI201" s="132"/>
      <c r="AJ201" s="132"/>
      <c r="AK201" s="132"/>
      <c r="AL201" s="132"/>
      <c r="AM201" s="132"/>
      <c r="AN201" s="132"/>
      <c r="AO201" s="132"/>
      <c r="AP201" s="132"/>
      <c r="AQ201" s="90"/>
      <c r="AR201" s="112"/>
      <c r="AS201" s="591"/>
      <c r="AT201" s="134"/>
      <c r="AU201" s="134"/>
      <c r="AV201" s="93"/>
      <c r="AW201" s="165"/>
      <c r="AX201" s="158"/>
      <c r="AY201" s="158"/>
      <c r="AZ201" s="158"/>
      <c r="BA201" s="158"/>
      <c r="BB201" s="169"/>
      <c r="BC201" s="165"/>
      <c r="BD201" s="165"/>
      <c r="BE201" s="165"/>
      <c r="BF201" s="169"/>
      <c r="BG201" s="169"/>
      <c r="BH201" s="169"/>
      <c r="BI201" s="183"/>
      <c r="BJ201" s="165"/>
      <c r="BK201" s="157"/>
      <c r="BL201" s="157"/>
      <c r="BN201" s="201"/>
      <c r="BO201" s="7"/>
      <c r="BP201" s="157"/>
      <c r="BQ201" s="157"/>
      <c r="BR201" s="157"/>
      <c r="BS201" s="157"/>
      <c r="BT201" s="157"/>
      <c r="BU201" s="157"/>
      <c r="BV201" s="183"/>
    </row>
    <row r="202" ht="63" customHeight="1" spans="1:81">
      <c r="A202" s="23">
        <f>SUBTOTAL(3,C$10:C202)</f>
        <v>159</v>
      </c>
      <c r="B202" s="55" t="s">
        <v>1812</v>
      </c>
      <c r="C202" s="35" t="s">
        <v>79</v>
      </c>
      <c r="D202" s="55" t="s">
        <v>1813</v>
      </c>
      <c r="E202" s="35" t="s">
        <v>112</v>
      </c>
      <c r="F202" s="36">
        <v>5000</v>
      </c>
      <c r="G202" s="36"/>
      <c r="H202" s="67" t="s">
        <v>144</v>
      </c>
      <c r="I202" s="37"/>
      <c r="J202" s="67">
        <v>500</v>
      </c>
      <c r="K202" s="67">
        <v>1800</v>
      </c>
      <c r="L202" s="257">
        <v>3000</v>
      </c>
      <c r="M202" s="257"/>
      <c r="N202" s="58" t="s">
        <v>1724</v>
      </c>
      <c r="O202" s="111"/>
      <c r="P202" s="67"/>
      <c r="Q202" s="115" t="s">
        <v>115</v>
      </c>
      <c r="R202" s="115" t="s">
        <v>115</v>
      </c>
      <c r="S202" s="115"/>
      <c r="T202" s="115"/>
      <c r="U202" s="115" t="s">
        <v>115</v>
      </c>
      <c r="V202" s="115" t="s">
        <v>115</v>
      </c>
      <c r="W202" s="115"/>
      <c r="X202" s="90"/>
      <c r="Y202" s="90" t="s">
        <v>117</v>
      </c>
      <c r="Z202" s="132">
        <v>130</v>
      </c>
      <c r="AA202" s="132"/>
      <c r="AB202" s="132">
        <v>130</v>
      </c>
      <c r="AC202" s="132"/>
      <c r="AD202" s="132"/>
      <c r="AE202" s="132"/>
      <c r="AF202" s="132"/>
      <c r="AG202" s="132"/>
      <c r="AH202" s="132"/>
      <c r="AI202" s="132">
        <v>87</v>
      </c>
      <c r="AJ202" s="132">
        <v>51</v>
      </c>
      <c r="AK202" s="132">
        <v>36</v>
      </c>
      <c r="AL202" s="132"/>
      <c r="AM202" s="132"/>
      <c r="AN202" s="132"/>
      <c r="AO202" s="132"/>
      <c r="AP202" s="132"/>
      <c r="AQ202" s="90"/>
      <c r="AR202" s="112" t="s">
        <v>117</v>
      </c>
      <c r="AS202" s="66" t="s">
        <v>1321</v>
      </c>
      <c r="AT202" s="23" t="s">
        <v>2153</v>
      </c>
      <c r="AU202" s="35" t="s">
        <v>269</v>
      </c>
      <c r="AV202" s="93"/>
      <c r="AW202" s="157"/>
      <c r="AX202" s="158" t="s">
        <v>2154</v>
      </c>
      <c r="AY202" s="158" t="s">
        <v>2139</v>
      </c>
      <c r="AZ202" s="158" t="str">
        <f t="shared" ref="AZ202:AZ205" si="261">AY202&amp;AX202</f>
        <v>社会事业文化</v>
      </c>
      <c r="BA202" s="92" t="str">
        <f>AX202</f>
        <v>文化</v>
      </c>
      <c r="BB202" s="159"/>
      <c r="BC202" s="160"/>
      <c r="BD202" s="157"/>
      <c r="BE202" s="157"/>
      <c r="BF202" s="157"/>
      <c r="BG202" s="157"/>
      <c r="BH202" s="157"/>
      <c r="BI202" s="181"/>
      <c r="BJ202" s="157" t="str">
        <f t="shared" ref="BJ202:BJ205" si="262">AU202&amp;H202</f>
        <v>灵山县人民政府5月</v>
      </c>
      <c r="BK202" s="157" t="s">
        <v>205</v>
      </c>
      <c r="BL202" s="157" t="s">
        <v>2140</v>
      </c>
      <c r="BM202" s="201" t="str">
        <f t="shared" ref="BM202:BM205" si="263">BK202&amp;AU202</f>
        <v>政府灵山县人民政府</v>
      </c>
      <c r="BN202" s="201" t="str">
        <f t="shared" ref="BN202:BN205" si="264">BL202&amp;AU202</f>
        <v>民生设施灵山县人民政府</v>
      </c>
      <c r="BO202" s="201"/>
      <c r="BP202" s="157"/>
      <c r="BQ202" s="157">
        <f t="shared" ref="BQ202:BQ205" si="265">IF(Z202&gt;0,1,0)</f>
        <v>1</v>
      </c>
      <c r="BR202" s="157">
        <f t="shared" ref="BR202:BR205" si="266">IF(AF202&gt;0,1,0)</f>
        <v>0</v>
      </c>
      <c r="BS202" s="157">
        <f t="shared" ref="BS202:BS205" si="267">IF(AC202&gt;0,1,0)</f>
        <v>0</v>
      </c>
      <c r="BT202" s="157">
        <f t="shared" ref="BT202:BT205" si="268">IF(AI202&gt;0,1,0)</f>
        <v>1</v>
      </c>
      <c r="BU202" s="157">
        <f t="shared" ref="BU202:BU205" si="269">IF(AL202&gt;0,1,0)</f>
        <v>0</v>
      </c>
      <c r="BV202" s="181"/>
      <c r="BW202" s="206"/>
      <c r="BY202" s="4"/>
      <c r="BZ202" s="4"/>
      <c r="CA202" s="4"/>
      <c r="CB202" s="4"/>
      <c r="CC202" s="4"/>
    </row>
    <row r="203" s="9" customFormat="1" ht="20.25" customHeight="1" spans="1:74">
      <c r="A203" s="551"/>
      <c r="B203" s="557" t="str">
        <f>"民政（"&amp;SUBTOTAL(3,C204:C205)&amp;"个）"</f>
        <v>民政（2个）</v>
      </c>
      <c r="C203" s="551"/>
      <c r="D203" s="554"/>
      <c r="E203" s="551"/>
      <c r="F203" s="134">
        <f t="shared" ref="F203:M203" si="270">SUBTOTAL(9,F204:F205)</f>
        <v>32000</v>
      </c>
      <c r="G203" s="134"/>
      <c r="H203" s="134"/>
      <c r="I203" s="134">
        <f t="shared" si="270"/>
        <v>600</v>
      </c>
      <c r="J203" s="134">
        <f t="shared" si="270"/>
        <v>2000</v>
      </c>
      <c r="K203" s="134">
        <f t="shared" si="270"/>
        <v>4000</v>
      </c>
      <c r="L203" s="134">
        <f t="shared" si="270"/>
        <v>11000</v>
      </c>
      <c r="M203" s="134">
        <f t="shared" si="270"/>
        <v>0</v>
      </c>
      <c r="N203" s="591"/>
      <c r="O203" s="134"/>
      <c r="P203" s="118"/>
      <c r="Q203" s="115"/>
      <c r="R203" s="115"/>
      <c r="S203" s="115"/>
      <c r="T203" s="115"/>
      <c r="U203" s="115"/>
      <c r="V203" s="115"/>
      <c r="W203" s="115"/>
      <c r="X203" s="90"/>
      <c r="Y203" s="90"/>
      <c r="Z203" s="132"/>
      <c r="AA203" s="132"/>
      <c r="AB203" s="132"/>
      <c r="AC203" s="132"/>
      <c r="AD203" s="132"/>
      <c r="AE203" s="132"/>
      <c r="AF203" s="132"/>
      <c r="AG203" s="132"/>
      <c r="AH203" s="132"/>
      <c r="AI203" s="132"/>
      <c r="AJ203" s="132"/>
      <c r="AK203" s="132"/>
      <c r="AL203" s="132"/>
      <c r="AM203" s="132"/>
      <c r="AN203" s="132"/>
      <c r="AO203" s="132"/>
      <c r="AP203" s="132"/>
      <c r="AQ203" s="90"/>
      <c r="AR203" s="112"/>
      <c r="AS203" s="591"/>
      <c r="AT203" s="134"/>
      <c r="AU203" s="134"/>
      <c r="AV203" s="93"/>
      <c r="AW203" s="165"/>
      <c r="AX203" s="158"/>
      <c r="AY203" s="158"/>
      <c r="AZ203" s="158"/>
      <c r="BA203" s="158"/>
      <c r="BB203" s="169"/>
      <c r="BC203" s="165"/>
      <c r="BD203" s="165"/>
      <c r="BE203" s="165"/>
      <c r="BF203" s="169"/>
      <c r="BG203" s="169"/>
      <c r="BH203" s="169"/>
      <c r="BI203" s="183"/>
      <c r="BJ203" s="165"/>
      <c r="BK203" s="157"/>
      <c r="BL203" s="157"/>
      <c r="BN203" s="201"/>
      <c r="BO203" s="7"/>
      <c r="BP203" s="157"/>
      <c r="BQ203" s="157"/>
      <c r="BR203" s="157"/>
      <c r="BS203" s="157"/>
      <c r="BT203" s="157"/>
      <c r="BU203" s="157"/>
      <c r="BV203" s="183"/>
    </row>
    <row r="204" s="10" customFormat="1" ht="66" customHeight="1" spans="1:75">
      <c r="A204" s="23">
        <f>SUBTOTAL(3,C$10:C204)</f>
        <v>160</v>
      </c>
      <c r="B204" s="55" t="s">
        <v>1864</v>
      </c>
      <c r="C204" s="35" t="s">
        <v>79</v>
      </c>
      <c r="D204" s="55" t="s">
        <v>1865</v>
      </c>
      <c r="E204" s="35" t="s">
        <v>112</v>
      </c>
      <c r="F204" s="38">
        <v>12000</v>
      </c>
      <c r="G204" s="38"/>
      <c r="H204" s="81" t="s">
        <v>82</v>
      </c>
      <c r="I204" s="81"/>
      <c r="J204" s="81"/>
      <c r="K204" s="81"/>
      <c r="L204" s="38">
        <v>5000</v>
      </c>
      <c r="M204" s="38"/>
      <c r="N204" s="112" t="s">
        <v>2155</v>
      </c>
      <c r="O204" s="127"/>
      <c r="P204" s="127"/>
      <c r="Q204" s="115" t="s">
        <v>115</v>
      </c>
      <c r="R204" s="115" t="s">
        <v>115</v>
      </c>
      <c r="S204" s="115" t="s">
        <v>115</v>
      </c>
      <c r="T204" s="115" t="s">
        <v>115</v>
      </c>
      <c r="U204" s="115"/>
      <c r="V204" s="115"/>
      <c r="W204" s="115"/>
      <c r="X204" s="90" t="s">
        <v>2156</v>
      </c>
      <c r="Y204" s="137" t="s">
        <v>117</v>
      </c>
      <c r="Z204" s="821">
        <v>300</v>
      </c>
      <c r="AA204" s="821">
        <v>103</v>
      </c>
      <c r="AB204" s="821">
        <v>197</v>
      </c>
      <c r="AC204" s="132"/>
      <c r="AD204" s="132"/>
      <c r="AE204" s="132"/>
      <c r="AF204" s="132"/>
      <c r="AG204" s="132"/>
      <c r="AH204" s="132"/>
      <c r="AI204" s="132"/>
      <c r="AJ204" s="132"/>
      <c r="AK204" s="132"/>
      <c r="AL204" s="132"/>
      <c r="AM204" s="132"/>
      <c r="AN204" s="132"/>
      <c r="AO204" s="132"/>
      <c r="AP204" s="132"/>
      <c r="AQ204" s="90"/>
      <c r="AR204" s="112" t="s">
        <v>1867</v>
      </c>
      <c r="AS204" s="34" t="s">
        <v>1868</v>
      </c>
      <c r="AT204" s="35" t="s">
        <v>2157</v>
      </c>
      <c r="AU204" s="35" t="s">
        <v>375</v>
      </c>
      <c r="AV204" s="55"/>
      <c r="AW204" s="157"/>
      <c r="AX204" s="158" t="s">
        <v>2158</v>
      </c>
      <c r="AY204" s="158" t="s">
        <v>2139</v>
      </c>
      <c r="AZ204" s="158" t="str">
        <f t="shared" si="261"/>
        <v>社会事业民政</v>
      </c>
      <c r="BA204" s="158" t="s">
        <v>2051</v>
      </c>
      <c r="BB204" s="167"/>
      <c r="BC204" s="160"/>
      <c r="BD204" s="157"/>
      <c r="BE204" s="157"/>
      <c r="BF204" s="157"/>
      <c r="BG204" s="157"/>
      <c r="BH204" s="157"/>
      <c r="BI204" s="162"/>
      <c r="BJ204" s="157" t="str">
        <f t="shared" si="262"/>
        <v>钦北区人民政府10月</v>
      </c>
      <c r="BK204" s="157" t="s">
        <v>92</v>
      </c>
      <c r="BL204" s="157" t="s">
        <v>2140</v>
      </c>
      <c r="BM204" s="201" t="str">
        <f t="shared" si="263"/>
        <v>企业钦北区人民政府</v>
      </c>
      <c r="BN204" s="201" t="str">
        <f t="shared" si="264"/>
        <v>民生设施钦北区人民政府</v>
      </c>
      <c r="BO204" s="201">
        <f t="shared" ref="BO204:BO208" si="271">IF(O204&gt;0,1,0)</f>
        <v>0</v>
      </c>
      <c r="BP204" s="157"/>
      <c r="BQ204" s="157">
        <f t="shared" si="265"/>
        <v>1</v>
      </c>
      <c r="BR204" s="157">
        <f t="shared" si="266"/>
        <v>0</v>
      </c>
      <c r="BS204" s="157">
        <f t="shared" si="267"/>
        <v>0</v>
      </c>
      <c r="BT204" s="157">
        <f t="shared" si="268"/>
        <v>0</v>
      </c>
      <c r="BU204" s="157">
        <f t="shared" si="269"/>
        <v>0</v>
      </c>
      <c r="BV204" s="162"/>
      <c r="BW204" s="206"/>
    </row>
    <row r="205" ht="60.6" customHeight="1" spans="1:81">
      <c r="A205" s="23">
        <f>SUBTOTAL(3,C$10:C205)</f>
        <v>161</v>
      </c>
      <c r="B205" s="55" t="s">
        <v>1856</v>
      </c>
      <c r="C205" s="35" t="s">
        <v>79</v>
      </c>
      <c r="D205" s="55" t="s">
        <v>1857</v>
      </c>
      <c r="E205" s="35" t="s">
        <v>81</v>
      </c>
      <c r="F205" s="36">
        <v>20000</v>
      </c>
      <c r="G205" s="36"/>
      <c r="H205" s="81" t="s">
        <v>353</v>
      </c>
      <c r="I205" s="37">
        <v>600</v>
      </c>
      <c r="J205" s="37">
        <v>2000</v>
      </c>
      <c r="K205" s="37">
        <v>4000</v>
      </c>
      <c r="L205" s="36">
        <v>6000</v>
      </c>
      <c r="M205" s="36"/>
      <c r="N205" s="112" t="s">
        <v>1858</v>
      </c>
      <c r="O205" s="111"/>
      <c r="P205" s="67"/>
      <c r="Q205" s="115" t="s">
        <v>115</v>
      </c>
      <c r="R205" s="115" t="s">
        <v>115</v>
      </c>
      <c r="S205" s="115" t="s">
        <v>115</v>
      </c>
      <c r="T205" s="115" t="s">
        <v>115</v>
      </c>
      <c r="U205" s="115" t="s">
        <v>115</v>
      </c>
      <c r="V205" s="115" t="s">
        <v>115</v>
      </c>
      <c r="W205" s="115" t="s">
        <v>115</v>
      </c>
      <c r="X205" s="90" t="s">
        <v>2159</v>
      </c>
      <c r="Y205" s="90" t="s">
        <v>2160</v>
      </c>
      <c r="Z205" s="132">
        <v>500</v>
      </c>
      <c r="AA205" s="132"/>
      <c r="AB205" s="132">
        <v>500</v>
      </c>
      <c r="AC205" s="132"/>
      <c r="AD205" s="132"/>
      <c r="AE205" s="132"/>
      <c r="AF205" s="132"/>
      <c r="AG205" s="132"/>
      <c r="AH205" s="132"/>
      <c r="AI205" s="132">
        <v>500</v>
      </c>
      <c r="AJ205" s="132">
        <v>80</v>
      </c>
      <c r="AK205" s="132">
        <v>420</v>
      </c>
      <c r="AL205" s="132"/>
      <c r="AM205" s="132"/>
      <c r="AN205" s="132"/>
      <c r="AO205" s="132"/>
      <c r="AP205" s="132"/>
      <c r="AQ205" s="90"/>
      <c r="AR205" s="112" t="s">
        <v>117</v>
      </c>
      <c r="AS205" s="34" t="s">
        <v>1859</v>
      </c>
      <c r="AT205" s="35" t="s">
        <v>2161</v>
      </c>
      <c r="AU205" s="35" t="s">
        <v>269</v>
      </c>
      <c r="AV205" s="93"/>
      <c r="AW205" s="157"/>
      <c r="AX205" s="158" t="s">
        <v>2158</v>
      </c>
      <c r="AY205" s="158" t="s">
        <v>2139</v>
      </c>
      <c r="AZ205" s="158" t="str">
        <f t="shared" si="261"/>
        <v>社会事业民政</v>
      </c>
      <c r="BA205" s="158" t="s">
        <v>2051</v>
      </c>
      <c r="BB205" s="159"/>
      <c r="BC205" s="160"/>
      <c r="BD205" s="157"/>
      <c r="BE205" s="157"/>
      <c r="BF205" s="157"/>
      <c r="BG205" s="157"/>
      <c r="BH205" s="157"/>
      <c r="BI205" s="181"/>
      <c r="BJ205" s="157" t="str">
        <f t="shared" si="262"/>
        <v>灵山县人民政府2月</v>
      </c>
      <c r="BK205" s="157" t="s">
        <v>92</v>
      </c>
      <c r="BL205" s="157" t="s">
        <v>2140</v>
      </c>
      <c r="BM205" s="201" t="str">
        <f t="shared" si="263"/>
        <v>企业灵山县人民政府</v>
      </c>
      <c r="BN205" s="201" t="str">
        <f t="shared" si="264"/>
        <v>民生设施灵山县人民政府</v>
      </c>
      <c r="BO205" s="201"/>
      <c r="BP205" s="157"/>
      <c r="BQ205" s="157">
        <f t="shared" si="265"/>
        <v>1</v>
      </c>
      <c r="BR205" s="157">
        <f t="shared" si="266"/>
        <v>0</v>
      </c>
      <c r="BS205" s="157">
        <f t="shared" si="267"/>
        <v>0</v>
      </c>
      <c r="BT205" s="157">
        <f t="shared" si="268"/>
        <v>1</v>
      </c>
      <c r="BU205" s="157">
        <f t="shared" si="269"/>
        <v>0</v>
      </c>
      <c r="BV205" s="181"/>
      <c r="BW205" s="206"/>
      <c r="BY205" s="4"/>
      <c r="BZ205" s="4"/>
      <c r="CA205" s="4"/>
      <c r="CB205" s="4"/>
      <c r="CC205" s="4"/>
    </row>
    <row r="206" s="9" customFormat="1" ht="18" customHeight="1" spans="1:74">
      <c r="A206" s="551"/>
      <c r="B206" s="557" t="str">
        <f>"其他（"&amp;SUBTOTAL(3,C207:C213)&amp;"个）"</f>
        <v>其他（7个）</v>
      </c>
      <c r="C206" s="551"/>
      <c r="D206" s="554"/>
      <c r="E206" s="551"/>
      <c r="F206" s="134">
        <f t="shared" ref="F206:M206" si="272">SUBTOTAL(9,F207:F213)</f>
        <v>68709</v>
      </c>
      <c r="G206" s="134"/>
      <c r="H206" s="134"/>
      <c r="I206" s="134">
        <f t="shared" si="272"/>
        <v>100</v>
      </c>
      <c r="J206" s="134">
        <f t="shared" si="272"/>
        <v>1600</v>
      </c>
      <c r="K206" s="134">
        <f t="shared" si="272"/>
        <v>7050</v>
      </c>
      <c r="L206" s="134">
        <f t="shared" si="272"/>
        <v>12700</v>
      </c>
      <c r="M206" s="134">
        <f t="shared" si="272"/>
        <v>0</v>
      </c>
      <c r="N206" s="591"/>
      <c r="O206" s="134"/>
      <c r="P206" s="118"/>
      <c r="Q206" s="115"/>
      <c r="R206" s="115"/>
      <c r="S206" s="115"/>
      <c r="T206" s="115"/>
      <c r="U206" s="115"/>
      <c r="V206" s="115"/>
      <c r="W206" s="115"/>
      <c r="X206" s="90"/>
      <c r="Y206" s="90"/>
      <c r="Z206" s="132"/>
      <c r="AA206" s="132"/>
      <c r="AB206" s="132"/>
      <c r="AC206" s="132"/>
      <c r="AD206" s="132"/>
      <c r="AE206" s="132"/>
      <c r="AF206" s="132"/>
      <c r="AG206" s="132"/>
      <c r="AH206" s="132"/>
      <c r="AI206" s="132"/>
      <c r="AJ206" s="132"/>
      <c r="AK206" s="132"/>
      <c r="AL206" s="132"/>
      <c r="AM206" s="132"/>
      <c r="AN206" s="132"/>
      <c r="AO206" s="132"/>
      <c r="AP206" s="132"/>
      <c r="AQ206" s="90"/>
      <c r="AR206" s="112"/>
      <c r="AS206" s="591"/>
      <c r="AT206" s="134"/>
      <c r="AU206" s="134"/>
      <c r="AV206" s="93"/>
      <c r="AW206" s="165"/>
      <c r="AX206" s="158"/>
      <c r="AY206" s="158"/>
      <c r="AZ206" s="158"/>
      <c r="BA206" s="158"/>
      <c r="BB206" s="169"/>
      <c r="BC206" s="165"/>
      <c r="BD206" s="165"/>
      <c r="BE206" s="165"/>
      <c r="BF206" s="169"/>
      <c r="BG206" s="169"/>
      <c r="BH206" s="169"/>
      <c r="BI206" s="183"/>
      <c r="BJ206" s="165"/>
      <c r="BK206" s="157"/>
      <c r="BL206" s="157"/>
      <c r="BN206" s="201"/>
      <c r="BO206" s="7"/>
      <c r="BP206" s="157"/>
      <c r="BQ206" s="157"/>
      <c r="BR206" s="157"/>
      <c r="BS206" s="157"/>
      <c r="BT206" s="157"/>
      <c r="BU206" s="157"/>
      <c r="BV206" s="183"/>
    </row>
    <row r="207" ht="74.25" customHeight="1" spans="1:81">
      <c r="A207" s="23">
        <f>SUBTOTAL(3,C$10:C207)</f>
        <v>162</v>
      </c>
      <c r="B207" s="55" t="s">
        <v>1814</v>
      </c>
      <c r="C207" s="35" t="s">
        <v>79</v>
      </c>
      <c r="D207" s="55" t="s">
        <v>1815</v>
      </c>
      <c r="E207" s="35" t="s">
        <v>112</v>
      </c>
      <c r="F207" s="67">
        <v>11814</v>
      </c>
      <c r="G207" s="67"/>
      <c r="H207" s="81" t="s">
        <v>209</v>
      </c>
      <c r="I207" s="81"/>
      <c r="J207" s="81"/>
      <c r="K207" s="37">
        <v>600</v>
      </c>
      <c r="L207" s="35">
        <v>1000</v>
      </c>
      <c r="M207" s="35"/>
      <c r="N207" s="34" t="s">
        <v>284</v>
      </c>
      <c r="O207" s="111"/>
      <c r="P207" s="67"/>
      <c r="Q207" s="134" t="s">
        <v>115</v>
      </c>
      <c r="R207" s="134" t="s">
        <v>115</v>
      </c>
      <c r="S207" s="134" t="s">
        <v>115</v>
      </c>
      <c r="T207" s="134" t="s">
        <v>115</v>
      </c>
      <c r="U207" s="134" t="s">
        <v>115</v>
      </c>
      <c r="V207" s="134" t="s">
        <v>115</v>
      </c>
      <c r="W207" s="134" t="s">
        <v>115</v>
      </c>
      <c r="X207" s="90" t="s">
        <v>1816</v>
      </c>
      <c r="Y207" s="55" t="s">
        <v>1817</v>
      </c>
      <c r="Z207" s="132">
        <v>94.02</v>
      </c>
      <c r="AA207" s="132">
        <v>94.02</v>
      </c>
      <c r="AB207" s="132"/>
      <c r="AC207" s="132"/>
      <c r="AD207" s="132"/>
      <c r="AE207" s="132"/>
      <c r="AF207" s="132"/>
      <c r="AG207" s="132"/>
      <c r="AH207" s="132"/>
      <c r="AI207" s="132"/>
      <c r="AJ207" s="132"/>
      <c r="AK207" s="132"/>
      <c r="AL207" s="132"/>
      <c r="AM207" s="132"/>
      <c r="AN207" s="132"/>
      <c r="AO207" s="132"/>
      <c r="AP207" s="134">
        <v>1000</v>
      </c>
      <c r="AQ207" s="90"/>
      <c r="AR207" s="112" t="s">
        <v>1818</v>
      </c>
      <c r="AS207" s="34" t="s">
        <v>464</v>
      </c>
      <c r="AT207" s="67" t="s">
        <v>2162</v>
      </c>
      <c r="AU207" s="35" t="s">
        <v>464</v>
      </c>
      <c r="AV207" s="93"/>
      <c r="AW207" s="157"/>
      <c r="AX207" s="158" t="s">
        <v>2051</v>
      </c>
      <c r="AY207" s="158" t="s">
        <v>2139</v>
      </c>
      <c r="AZ207" s="158" t="str">
        <f t="shared" ref="AZ207:AZ213" si="273">AY207&amp;AX207</f>
        <v>社会事业其他</v>
      </c>
      <c r="BA207" s="158" t="s">
        <v>2051</v>
      </c>
      <c r="BB207" s="272"/>
      <c r="BC207" s="160"/>
      <c r="BD207" s="157"/>
      <c r="BE207" s="157"/>
      <c r="BF207" s="157"/>
      <c r="BG207" s="157"/>
      <c r="BH207" s="157"/>
      <c r="BI207" s="823"/>
      <c r="BJ207" s="157" t="str">
        <f t="shared" ref="BJ207:BJ213" si="274">AU207&amp;H207</f>
        <v>市公安局8月</v>
      </c>
      <c r="BK207" s="157" t="s">
        <v>205</v>
      </c>
      <c r="BL207" s="157" t="s">
        <v>2140</v>
      </c>
      <c r="BM207" s="201" t="str">
        <f t="shared" ref="BM207:BM213" si="275">BK207&amp;AU207</f>
        <v>政府市公安局</v>
      </c>
      <c r="BN207" s="201" t="str">
        <f t="shared" ref="BN207:BN213" si="276">BL207&amp;AU207</f>
        <v>民生设施市公安局</v>
      </c>
      <c r="BO207" s="201">
        <f t="shared" si="271"/>
        <v>0</v>
      </c>
      <c r="BP207" s="157"/>
      <c r="BQ207" s="157">
        <f t="shared" ref="BQ207:BQ213" si="277">IF(Z207&gt;0,1,0)</f>
        <v>1</v>
      </c>
      <c r="BR207" s="157">
        <f t="shared" ref="BR207:BR213" si="278">IF(AF207&gt;0,1,0)</f>
        <v>0</v>
      </c>
      <c r="BS207" s="157">
        <f t="shared" ref="BS207:BS213" si="279">IF(AC207&gt;0,1,0)</f>
        <v>0</v>
      </c>
      <c r="BT207" s="157">
        <f t="shared" ref="BT207:BT213" si="280">IF(AI207&gt;0,1,0)</f>
        <v>0</v>
      </c>
      <c r="BU207" s="157">
        <f t="shared" ref="BU207:BU213" si="281">IF(AL207&gt;0,1,0)</f>
        <v>0</v>
      </c>
      <c r="BV207" s="823"/>
      <c r="BW207" s="206"/>
      <c r="BY207" s="4"/>
      <c r="BZ207" s="4"/>
      <c r="CA207" s="4"/>
      <c r="CB207" s="4"/>
      <c r="CC207" s="4"/>
    </row>
    <row r="208" ht="71.25" customHeight="1" spans="1:81">
      <c r="A208" s="23">
        <f>SUBTOTAL(3,C$10:C208)</f>
        <v>163</v>
      </c>
      <c r="B208" s="55" t="s">
        <v>1819</v>
      </c>
      <c r="C208" s="35" t="s">
        <v>79</v>
      </c>
      <c r="D208" s="55" t="s">
        <v>1820</v>
      </c>
      <c r="E208" s="35" t="s">
        <v>112</v>
      </c>
      <c r="F208" s="67">
        <v>7583</v>
      </c>
      <c r="G208" s="67"/>
      <c r="H208" s="81" t="s">
        <v>209</v>
      </c>
      <c r="I208" s="81"/>
      <c r="J208" s="81"/>
      <c r="K208" s="37">
        <v>450</v>
      </c>
      <c r="L208" s="35">
        <v>1000</v>
      </c>
      <c r="M208" s="35"/>
      <c r="N208" s="34" t="s">
        <v>1821</v>
      </c>
      <c r="O208" s="111"/>
      <c r="P208" s="99"/>
      <c r="Q208" s="99" t="s">
        <v>115</v>
      </c>
      <c r="R208" s="99" t="s">
        <v>115</v>
      </c>
      <c r="S208" s="99" t="s">
        <v>115</v>
      </c>
      <c r="T208" s="99" t="s">
        <v>115</v>
      </c>
      <c r="U208" s="99" t="s">
        <v>115</v>
      </c>
      <c r="V208" s="99"/>
      <c r="W208" s="99"/>
      <c r="X208" s="90" t="s">
        <v>1822</v>
      </c>
      <c r="Y208" s="55" t="s">
        <v>1817</v>
      </c>
      <c r="Z208" s="132">
        <v>120</v>
      </c>
      <c r="AA208" s="132">
        <v>60</v>
      </c>
      <c r="AB208" s="132">
        <v>60</v>
      </c>
      <c r="AC208" s="132">
        <v>76</v>
      </c>
      <c r="AD208" s="132"/>
      <c r="AE208" s="132">
        <v>76</v>
      </c>
      <c r="AF208" s="132"/>
      <c r="AG208" s="132"/>
      <c r="AH208" s="132"/>
      <c r="AI208" s="132"/>
      <c r="AJ208" s="132"/>
      <c r="AK208" s="132"/>
      <c r="AL208" s="132"/>
      <c r="AM208" s="132"/>
      <c r="AN208" s="132"/>
      <c r="AO208" s="132">
        <v>600</v>
      </c>
      <c r="AP208" s="134">
        <v>1000</v>
      </c>
      <c r="AQ208" s="90"/>
      <c r="AR208" s="112" t="s">
        <v>1818</v>
      </c>
      <c r="AS208" s="34" t="s">
        <v>464</v>
      </c>
      <c r="AT208" s="67" t="s">
        <v>2162</v>
      </c>
      <c r="AU208" s="35" t="s">
        <v>464</v>
      </c>
      <c r="AV208" s="93"/>
      <c r="AW208" s="157"/>
      <c r="AX208" s="158" t="s">
        <v>2051</v>
      </c>
      <c r="AY208" s="158" t="s">
        <v>2139</v>
      </c>
      <c r="AZ208" s="158" t="str">
        <f t="shared" si="273"/>
        <v>社会事业其他</v>
      </c>
      <c r="BA208" s="158" t="s">
        <v>2051</v>
      </c>
      <c r="BB208" s="272"/>
      <c r="BC208" s="160"/>
      <c r="BD208" s="157"/>
      <c r="BE208" s="157"/>
      <c r="BF208" s="157"/>
      <c r="BG208" s="157"/>
      <c r="BH208" s="157"/>
      <c r="BI208" s="823"/>
      <c r="BJ208" s="157" t="str">
        <f t="shared" si="274"/>
        <v>市公安局8月</v>
      </c>
      <c r="BK208" s="157" t="s">
        <v>205</v>
      </c>
      <c r="BL208" s="157" t="s">
        <v>2140</v>
      </c>
      <c r="BM208" s="201" t="str">
        <f t="shared" si="275"/>
        <v>政府市公安局</v>
      </c>
      <c r="BN208" s="201" t="str">
        <f t="shared" si="276"/>
        <v>民生设施市公安局</v>
      </c>
      <c r="BO208" s="201">
        <f t="shared" si="271"/>
        <v>0</v>
      </c>
      <c r="BP208" s="157"/>
      <c r="BQ208" s="157">
        <f t="shared" si="277"/>
        <v>1</v>
      </c>
      <c r="BR208" s="157">
        <f t="shared" si="278"/>
        <v>0</v>
      </c>
      <c r="BS208" s="157">
        <f t="shared" si="279"/>
        <v>1</v>
      </c>
      <c r="BT208" s="157">
        <f t="shared" si="280"/>
        <v>0</v>
      </c>
      <c r="BU208" s="157">
        <f t="shared" si="281"/>
        <v>0</v>
      </c>
      <c r="BV208" s="823"/>
      <c r="BW208" s="206"/>
      <c r="BY208" s="4"/>
      <c r="BZ208" s="4"/>
      <c r="CA208" s="4"/>
      <c r="CB208" s="4"/>
      <c r="CC208" s="4"/>
    </row>
    <row r="209" ht="71.25" customHeight="1" spans="1:81">
      <c r="A209" s="23">
        <f>SUBTOTAL(3,C$10:C209)</f>
        <v>164</v>
      </c>
      <c r="B209" s="55" t="s">
        <v>1823</v>
      </c>
      <c r="C209" s="35" t="s">
        <v>79</v>
      </c>
      <c r="D209" s="55" t="s">
        <v>1824</v>
      </c>
      <c r="E209" s="35" t="s">
        <v>112</v>
      </c>
      <c r="F209" s="67">
        <v>8291</v>
      </c>
      <c r="G209" s="67"/>
      <c r="H209" s="83" t="s">
        <v>263</v>
      </c>
      <c r="I209" s="83"/>
      <c r="J209" s="83"/>
      <c r="K209" s="578">
        <v>450</v>
      </c>
      <c r="L209" s="35">
        <v>1700</v>
      </c>
      <c r="M209" s="35"/>
      <c r="N209" s="34" t="s">
        <v>284</v>
      </c>
      <c r="O209" s="111"/>
      <c r="P209" s="99"/>
      <c r="Q209" s="99" t="s">
        <v>115</v>
      </c>
      <c r="R209" s="99"/>
      <c r="S209" s="99"/>
      <c r="T209" s="99"/>
      <c r="U209" s="99" t="s">
        <v>115</v>
      </c>
      <c r="V209" s="99"/>
      <c r="W209" s="99"/>
      <c r="X209" s="90" t="s">
        <v>2052</v>
      </c>
      <c r="Y209" s="55" t="s">
        <v>2163</v>
      </c>
      <c r="Z209" s="132"/>
      <c r="AA209" s="132"/>
      <c r="AB209" s="132"/>
      <c r="AC209" s="132"/>
      <c r="AD209" s="132"/>
      <c r="AE209" s="132"/>
      <c r="AF209" s="132"/>
      <c r="AG209" s="132"/>
      <c r="AH209" s="132"/>
      <c r="AI209" s="132"/>
      <c r="AJ209" s="132"/>
      <c r="AK209" s="132"/>
      <c r="AL209" s="132"/>
      <c r="AM209" s="132"/>
      <c r="AN209" s="132"/>
      <c r="AO209" s="132"/>
      <c r="AP209" s="132"/>
      <c r="AQ209" s="90"/>
      <c r="AR209" s="34" t="s">
        <v>1045</v>
      </c>
      <c r="AS209" s="34" t="s">
        <v>2164</v>
      </c>
      <c r="AT209" s="67" t="s">
        <v>2165</v>
      </c>
      <c r="AU209" s="35" t="s">
        <v>464</v>
      </c>
      <c r="AV209" s="93"/>
      <c r="AW209" s="157"/>
      <c r="AX209" s="158" t="s">
        <v>2051</v>
      </c>
      <c r="AY209" s="158" t="s">
        <v>2139</v>
      </c>
      <c r="AZ209" s="158" t="str">
        <f t="shared" si="273"/>
        <v>社会事业其他</v>
      </c>
      <c r="BA209" s="158" t="s">
        <v>2051</v>
      </c>
      <c r="BB209" s="272"/>
      <c r="BC209" s="160"/>
      <c r="BD209" s="157"/>
      <c r="BE209" s="157"/>
      <c r="BF209" s="157"/>
      <c r="BG209" s="157"/>
      <c r="BH209" s="157"/>
      <c r="BI209" s="823"/>
      <c r="BJ209" s="157" t="str">
        <f t="shared" si="274"/>
        <v>市公安局7月</v>
      </c>
      <c r="BK209" s="157" t="s">
        <v>205</v>
      </c>
      <c r="BL209" s="157" t="s">
        <v>2140</v>
      </c>
      <c r="BM209" s="201" t="str">
        <f t="shared" si="275"/>
        <v>政府市公安局</v>
      </c>
      <c r="BN209" s="201" t="str">
        <f t="shared" si="276"/>
        <v>民生设施市公安局</v>
      </c>
      <c r="BO209" s="201"/>
      <c r="BP209" s="157"/>
      <c r="BQ209" s="157">
        <f t="shared" si="277"/>
        <v>0</v>
      </c>
      <c r="BR209" s="157">
        <f t="shared" si="278"/>
        <v>0</v>
      </c>
      <c r="BS209" s="157">
        <f t="shared" si="279"/>
        <v>0</v>
      </c>
      <c r="BT209" s="157">
        <f t="shared" si="280"/>
        <v>0</v>
      </c>
      <c r="BU209" s="157">
        <f t="shared" si="281"/>
        <v>0</v>
      </c>
      <c r="BV209" s="823"/>
      <c r="BW209" s="206"/>
      <c r="BY209" s="4"/>
      <c r="BZ209" s="4"/>
      <c r="CA209" s="4"/>
      <c r="CB209" s="4"/>
      <c r="CC209" s="4"/>
    </row>
    <row r="210" ht="68.25" customHeight="1" spans="1:81">
      <c r="A210" s="23">
        <f>SUBTOTAL(3,C$10:C210)</f>
        <v>165</v>
      </c>
      <c r="B210" s="60" t="s">
        <v>1831</v>
      </c>
      <c r="C210" s="23" t="s">
        <v>79</v>
      </c>
      <c r="D210" s="88" t="s">
        <v>1832</v>
      </c>
      <c r="E210" s="23" t="s">
        <v>112</v>
      </c>
      <c r="F210" s="67">
        <v>2427</v>
      </c>
      <c r="G210" s="67"/>
      <c r="H210" s="67" t="s">
        <v>195</v>
      </c>
      <c r="I210" s="37">
        <v>100</v>
      </c>
      <c r="J210" s="37">
        <v>300</v>
      </c>
      <c r="K210" s="37">
        <v>300</v>
      </c>
      <c r="L210" s="67">
        <v>1000</v>
      </c>
      <c r="M210" s="67"/>
      <c r="N210" s="123" t="s">
        <v>1833</v>
      </c>
      <c r="O210" s="111"/>
      <c r="P210" s="67"/>
      <c r="Q210" s="115" t="s">
        <v>115</v>
      </c>
      <c r="R210" s="115" t="s">
        <v>115</v>
      </c>
      <c r="S210" s="115" t="s">
        <v>115</v>
      </c>
      <c r="T210" s="115"/>
      <c r="U210" s="115"/>
      <c r="V210" s="115"/>
      <c r="W210" s="115"/>
      <c r="X210" s="90" t="s">
        <v>2166</v>
      </c>
      <c r="Y210" s="90"/>
      <c r="Z210" s="132">
        <v>50</v>
      </c>
      <c r="AA210" s="132">
        <v>50</v>
      </c>
      <c r="AB210" s="132"/>
      <c r="AC210" s="132"/>
      <c r="AD210" s="132"/>
      <c r="AE210" s="132"/>
      <c r="AF210" s="132"/>
      <c r="AG210" s="132"/>
      <c r="AH210" s="132"/>
      <c r="AI210" s="132">
        <v>50</v>
      </c>
      <c r="AJ210" s="132"/>
      <c r="AK210" s="132">
        <v>50</v>
      </c>
      <c r="AL210" s="132"/>
      <c r="AM210" s="132"/>
      <c r="AN210" s="132"/>
      <c r="AO210" s="132"/>
      <c r="AP210" s="132"/>
      <c r="AQ210" s="90"/>
      <c r="AR210" s="34" t="s">
        <v>737</v>
      </c>
      <c r="AS210" s="34" t="s">
        <v>2167</v>
      </c>
      <c r="AT210" s="67" t="s">
        <v>2168</v>
      </c>
      <c r="AU210" s="35" t="s">
        <v>359</v>
      </c>
      <c r="AV210" s="93"/>
      <c r="AW210" s="157"/>
      <c r="AX210" s="158" t="s">
        <v>2051</v>
      </c>
      <c r="AY210" s="158" t="s">
        <v>2139</v>
      </c>
      <c r="AZ210" s="158" t="str">
        <f t="shared" si="273"/>
        <v>社会事业其他</v>
      </c>
      <c r="BA210" s="158" t="s">
        <v>2051</v>
      </c>
      <c r="BB210" s="159"/>
      <c r="BC210" s="160"/>
      <c r="BD210" s="157"/>
      <c r="BE210" s="157"/>
      <c r="BF210" s="157"/>
      <c r="BG210" s="157"/>
      <c r="BH210" s="157"/>
      <c r="BI210" s="181"/>
      <c r="BJ210" s="157" t="str">
        <f t="shared" si="274"/>
        <v>钦南区人民政府3月</v>
      </c>
      <c r="BK210" s="157" t="s">
        <v>205</v>
      </c>
      <c r="BL210" s="157" t="s">
        <v>2140</v>
      </c>
      <c r="BM210" s="201" t="str">
        <f t="shared" si="275"/>
        <v>政府钦南区人民政府</v>
      </c>
      <c r="BN210" s="201" t="str">
        <f t="shared" si="276"/>
        <v>民生设施钦南区人民政府</v>
      </c>
      <c r="BO210" s="201"/>
      <c r="BP210" s="157"/>
      <c r="BQ210" s="157">
        <f t="shared" si="277"/>
        <v>1</v>
      </c>
      <c r="BR210" s="157">
        <f t="shared" si="278"/>
        <v>0</v>
      </c>
      <c r="BS210" s="157">
        <f t="shared" si="279"/>
        <v>0</v>
      </c>
      <c r="BT210" s="157">
        <f t="shared" si="280"/>
        <v>1</v>
      </c>
      <c r="BU210" s="157">
        <f t="shared" si="281"/>
        <v>0</v>
      </c>
      <c r="BV210" s="181"/>
      <c r="BW210" s="206"/>
      <c r="BY210" s="4"/>
      <c r="BZ210" s="4"/>
      <c r="CA210" s="4"/>
      <c r="CB210" s="4"/>
      <c r="CC210" s="4"/>
    </row>
    <row r="211" ht="68.25" customHeight="1" spans="1:81">
      <c r="A211" s="23">
        <f>SUBTOTAL(3,C$10:C211)</f>
        <v>166</v>
      </c>
      <c r="B211" s="34" t="s">
        <v>1835</v>
      </c>
      <c r="C211" s="35" t="s">
        <v>79</v>
      </c>
      <c r="D211" s="34" t="s">
        <v>1836</v>
      </c>
      <c r="E211" s="35" t="s">
        <v>112</v>
      </c>
      <c r="F211" s="36">
        <v>4310</v>
      </c>
      <c r="G211" s="36"/>
      <c r="H211" s="81" t="s">
        <v>144</v>
      </c>
      <c r="I211" s="67"/>
      <c r="J211" s="67">
        <v>200</v>
      </c>
      <c r="K211" s="67">
        <v>550</v>
      </c>
      <c r="L211" s="36">
        <v>1000</v>
      </c>
      <c r="M211" s="36"/>
      <c r="N211" s="112" t="s">
        <v>1837</v>
      </c>
      <c r="O211" s="111"/>
      <c r="P211" s="67"/>
      <c r="Q211" s="115" t="s">
        <v>115</v>
      </c>
      <c r="R211" s="115" t="s">
        <v>115</v>
      </c>
      <c r="S211" s="115" t="s">
        <v>115</v>
      </c>
      <c r="T211" s="115"/>
      <c r="U211" s="115"/>
      <c r="V211" s="115"/>
      <c r="W211" s="115"/>
      <c r="X211" s="90"/>
      <c r="Y211" s="90"/>
      <c r="Z211" s="132">
        <v>50</v>
      </c>
      <c r="AA211" s="132">
        <v>50</v>
      </c>
      <c r="AB211" s="132"/>
      <c r="AC211" s="132"/>
      <c r="AD211" s="132"/>
      <c r="AE211" s="132"/>
      <c r="AF211" s="132"/>
      <c r="AG211" s="132"/>
      <c r="AH211" s="132"/>
      <c r="AI211" s="132">
        <v>50</v>
      </c>
      <c r="AJ211" s="132"/>
      <c r="AK211" s="132">
        <v>50</v>
      </c>
      <c r="AL211" s="132"/>
      <c r="AM211" s="132"/>
      <c r="AN211" s="132"/>
      <c r="AO211" s="132"/>
      <c r="AP211" s="132"/>
      <c r="AQ211" s="90"/>
      <c r="AR211" s="112" t="s">
        <v>806</v>
      </c>
      <c r="AS211" s="34" t="s">
        <v>807</v>
      </c>
      <c r="AT211" s="35" t="s">
        <v>2058</v>
      </c>
      <c r="AU211" s="35" t="s">
        <v>375</v>
      </c>
      <c r="AV211" s="93"/>
      <c r="AW211" s="157"/>
      <c r="AX211" s="158" t="s">
        <v>2051</v>
      </c>
      <c r="AY211" s="158" t="s">
        <v>2139</v>
      </c>
      <c r="AZ211" s="158" t="str">
        <f t="shared" si="273"/>
        <v>社会事业其他</v>
      </c>
      <c r="BA211" s="158" t="s">
        <v>2051</v>
      </c>
      <c r="BB211" s="159"/>
      <c r="BC211" s="160"/>
      <c r="BD211" s="157"/>
      <c r="BE211" s="157"/>
      <c r="BF211" s="157"/>
      <c r="BG211" s="157"/>
      <c r="BH211" s="157"/>
      <c r="BI211" s="181"/>
      <c r="BJ211" s="157" t="str">
        <f t="shared" si="274"/>
        <v>钦北区人民政府5月</v>
      </c>
      <c r="BK211" s="157" t="s">
        <v>205</v>
      </c>
      <c r="BL211" s="157" t="s">
        <v>2140</v>
      </c>
      <c r="BM211" s="201" t="str">
        <f t="shared" si="275"/>
        <v>政府钦北区人民政府</v>
      </c>
      <c r="BN211" s="201" t="str">
        <f t="shared" si="276"/>
        <v>民生设施钦北区人民政府</v>
      </c>
      <c r="BO211" s="201"/>
      <c r="BP211" s="157"/>
      <c r="BQ211" s="157">
        <f t="shared" si="277"/>
        <v>1</v>
      </c>
      <c r="BR211" s="157">
        <f t="shared" si="278"/>
        <v>0</v>
      </c>
      <c r="BS211" s="157">
        <f t="shared" si="279"/>
        <v>0</v>
      </c>
      <c r="BT211" s="157">
        <f t="shared" si="280"/>
        <v>1</v>
      </c>
      <c r="BU211" s="157">
        <f t="shared" si="281"/>
        <v>0</v>
      </c>
      <c r="BV211" s="181"/>
      <c r="BW211" s="206"/>
      <c r="BY211" s="4"/>
      <c r="BZ211" s="4"/>
      <c r="CA211" s="4"/>
      <c r="CB211" s="4"/>
      <c r="CC211" s="4"/>
    </row>
    <row r="212" ht="68.25" customHeight="1" spans="1:81">
      <c r="A212" s="23">
        <f>SUBTOTAL(3,C$10:C212)</f>
        <v>167</v>
      </c>
      <c r="B212" s="55" t="s">
        <v>1827</v>
      </c>
      <c r="C212" s="35" t="s">
        <v>79</v>
      </c>
      <c r="D212" s="55" t="s">
        <v>1828</v>
      </c>
      <c r="E212" s="35" t="s">
        <v>112</v>
      </c>
      <c r="F212" s="36">
        <v>30000</v>
      </c>
      <c r="G212" s="36"/>
      <c r="H212" s="67" t="s">
        <v>144</v>
      </c>
      <c r="I212" s="37"/>
      <c r="J212" s="37">
        <v>800</v>
      </c>
      <c r="K212" s="37">
        <v>3500</v>
      </c>
      <c r="L212" s="36">
        <v>5000</v>
      </c>
      <c r="M212" s="36"/>
      <c r="N212" s="112" t="s">
        <v>284</v>
      </c>
      <c r="O212" s="111"/>
      <c r="P212" s="67"/>
      <c r="Q212" s="115" t="s">
        <v>115</v>
      </c>
      <c r="R212" s="115" t="s">
        <v>115</v>
      </c>
      <c r="S212" s="115" t="s">
        <v>115</v>
      </c>
      <c r="T212" s="115"/>
      <c r="U212" s="115"/>
      <c r="V212" s="115"/>
      <c r="W212" s="115"/>
      <c r="X212" s="90" t="s">
        <v>2166</v>
      </c>
      <c r="Y212" s="90" t="s">
        <v>469</v>
      </c>
      <c r="Z212" s="132">
        <v>50</v>
      </c>
      <c r="AA212" s="132">
        <v>50</v>
      </c>
      <c r="AB212" s="132"/>
      <c r="AC212" s="132"/>
      <c r="AD212" s="132"/>
      <c r="AE212" s="132"/>
      <c r="AF212" s="132"/>
      <c r="AG212" s="132"/>
      <c r="AH212" s="132"/>
      <c r="AI212" s="132">
        <v>50</v>
      </c>
      <c r="AJ212" s="132"/>
      <c r="AK212" s="132">
        <v>50</v>
      </c>
      <c r="AL212" s="132"/>
      <c r="AM212" s="132"/>
      <c r="AN212" s="132"/>
      <c r="AO212" s="132"/>
      <c r="AP212" s="132"/>
      <c r="AQ212" s="90"/>
      <c r="AR212" s="112" t="s">
        <v>117</v>
      </c>
      <c r="AS212" s="34" t="s">
        <v>1321</v>
      </c>
      <c r="AT212" s="35" t="s">
        <v>2033</v>
      </c>
      <c r="AU212" s="35" t="s">
        <v>269</v>
      </c>
      <c r="AV212" s="93"/>
      <c r="AW212" s="157"/>
      <c r="AX212" s="158" t="s">
        <v>2051</v>
      </c>
      <c r="AY212" s="158" t="s">
        <v>2139</v>
      </c>
      <c r="AZ212" s="158" t="str">
        <f t="shared" si="273"/>
        <v>社会事业其他</v>
      </c>
      <c r="BA212" s="158" t="s">
        <v>2051</v>
      </c>
      <c r="BB212" s="159"/>
      <c r="BC212" s="160"/>
      <c r="BD212" s="157"/>
      <c r="BE212" s="157"/>
      <c r="BF212" s="157"/>
      <c r="BG212" s="157"/>
      <c r="BH212" s="157"/>
      <c r="BI212" s="181"/>
      <c r="BJ212" s="157" t="str">
        <f t="shared" si="274"/>
        <v>灵山县人民政府5月</v>
      </c>
      <c r="BK212" s="157" t="s">
        <v>205</v>
      </c>
      <c r="BL212" s="157" t="s">
        <v>2140</v>
      </c>
      <c r="BM212" s="201" t="str">
        <f t="shared" si="275"/>
        <v>政府灵山县人民政府</v>
      </c>
      <c r="BN212" s="201" t="str">
        <f t="shared" si="276"/>
        <v>民生设施灵山县人民政府</v>
      </c>
      <c r="BO212" s="201"/>
      <c r="BP212" s="157"/>
      <c r="BQ212" s="157">
        <f t="shared" si="277"/>
        <v>1</v>
      </c>
      <c r="BR212" s="157">
        <f t="shared" si="278"/>
        <v>0</v>
      </c>
      <c r="BS212" s="157">
        <f t="shared" si="279"/>
        <v>0</v>
      </c>
      <c r="BT212" s="157">
        <f t="shared" si="280"/>
        <v>1</v>
      </c>
      <c r="BU212" s="157">
        <f t="shared" si="281"/>
        <v>0</v>
      </c>
      <c r="BV212" s="181"/>
      <c r="BW212" s="206"/>
      <c r="BY212" s="4"/>
      <c r="BZ212" s="4"/>
      <c r="CA212" s="4"/>
      <c r="CB212" s="4"/>
      <c r="CC212" s="4"/>
    </row>
    <row r="213" ht="68.25" customHeight="1" spans="1:81">
      <c r="A213" s="23">
        <f>SUBTOTAL(3,C$10:C213)</f>
        <v>168</v>
      </c>
      <c r="B213" s="55" t="s">
        <v>1829</v>
      </c>
      <c r="C213" s="35" t="s">
        <v>79</v>
      </c>
      <c r="D213" s="55" t="s">
        <v>2169</v>
      </c>
      <c r="E213" s="35" t="s">
        <v>112</v>
      </c>
      <c r="F213" s="35">
        <v>4284</v>
      </c>
      <c r="G213" s="35"/>
      <c r="H213" s="67" t="s">
        <v>122</v>
      </c>
      <c r="I213" s="37"/>
      <c r="J213" s="67">
        <v>300</v>
      </c>
      <c r="K213" s="67">
        <v>1200</v>
      </c>
      <c r="L213" s="257">
        <v>2000</v>
      </c>
      <c r="M213" s="257"/>
      <c r="N213" s="131" t="s">
        <v>1724</v>
      </c>
      <c r="O213" s="111"/>
      <c r="P213" s="67"/>
      <c r="Q213" s="115" t="s">
        <v>115</v>
      </c>
      <c r="R213" s="115" t="s">
        <v>115</v>
      </c>
      <c r="S213" s="115" t="s">
        <v>115</v>
      </c>
      <c r="T213" s="115"/>
      <c r="U213" s="115"/>
      <c r="V213" s="115"/>
      <c r="W213" s="115"/>
      <c r="X213" s="90"/>
      <c r="Y213" s="90"/>
      <c r="Z213" s="132">
        <v>50</v>
      </c>
      <c r="AA213" s="132">
        <v>50</v>
      </c>
      <c r="AB213" s="132"/>
      <c r="AC213" s="132"/>
      <c r="AD213" s="132"/>
      <c r="AE213" s="132"/>
      <c r="AF213" s="132"/>
      <c r="AG213" s="132"/>
      <c r="AH213" s="132"/>
      <c r="AI213" s="132">
        <v>50</v>
      </c>
      <c r="AJ213" s="132"/>
      <c r="AK213" s="132">
        <v>50</v>
      </c>
      <c r="AL213" s="132"/>
      <c r="AM213" s="132"/>
      <c r="AN213" s="132"/>
      <c r="AO213" s="132"/>
      <c r="AP213" s="132"/>
      <c r="AQ213" s="90"/>
      <c r="AR213" s="112" t="s">
        <v>1320</v>
      </c>
      <c r="AS213" s="34" t="s">
        <v>1321</v>
      </c>
      <c r="AT213" s="35" t="s">
        <v>2035</v>
      </c>
      <c r="AU213" s="35" t="s">
        <v>269</v>
      </c>
      <c r="AV213" s="93"/>
      <c r="AW213" s="157"/>
      <c r="AX213" s="158" t="s">
        <v>2051</v>
      </c>
      <c r="AY213" s="158" t="s">
        <v>2139</v>
      </c>
      <c r="AZ213" s="158" t="str">
        <f t="shared" si="273"/>
        <v>社会事业其他</v>
      </c>
      <c r="BA213" s="158" t="s">
        <v>2051</v>
      </c>
      <c r="BB213" s="159"/>
      <c r="BC213" s="160"/>
      <c r="BD213" s="157"/>
      <c r="BE213" s="157"/>
      <c r="BF213" s="157"/>
      <c r="BG213" s="157"/>
      <c r="BH213" s="157"/>
      <c r="BI213" s="181"/>
      <c r="BJ213" s="157" t="str">
        <f t="shared" si="274"/>
        <v>灵山县人民政府6月</v>
      </c>
      <c r="BK213" s="157" t="s">
        <v>205</v>
      </c>
      <c r="BL213" s="157" t="s">
        <v>2140</v>
      </c>
      <c r="BM213" s="201" t="str">
        <f t="shared" si="275"/>
        <v>政府灵山县人民政府</v>
      </c>
      <c r="BN213" s="201" t="str">
        <f t="shared" si="276"/>
        <v>民生设施灵山县人民政府</v>
      </c>
      <c r="BO213" s="201"/>
      <c r="BP213" s="157"/>
      <c r="BQ213" s="157">
        <f t="shared" si="277"/>
        <v>1</v>
      </c>
      <c r="BR213" s="157">
        <f t="shared" si="278"/>
        <v>0</v>
      </c>
      <c r="BS213" s="157">
        <f t="shared" si="279"/>
        <v>0</v>
      </c>
      <c r="BT213" s="157">
        <f t="shared" si="280"/>
        <v>1</v>
      </c>
      <c r="BU213" s="157">
        <f t="shared" si="281"/>
        <v>0</v>
      </c>
      <c r="BV213" s="181"/>
      <c r="BW213" s="206"/>
      <c r="BY213" s="4"/>
      <c r="BZ213" s="4"/>
      <c r="CA213" s="4"/>
      <c r="CB213" s="4"/>
      <c r="CC213" s="4"/>
    </row>
    <row r="214" s="8" customFormat="1" ht="15" spans="1:81">
      <c r="A214" s="739"/>
      <c r="B214" s="740"/>
      <c r="C214" s="179">
        <f>SUBTOTAL(3,C10:C213)</f>
        <v>168</v>
      </c>
      <c r="D214" s="217">
        <v>208</v>
      </c>
      <c r="E214" s="179">
        <f>SUBTOTAL(3,E10:E213)</f>
        <v>168</v>
      </c>
      <c r="F214" s="179">
        <f t="shared" ref="F214:M214" si="282">SUBTOTAL(9,F10:F213)</f>
        <v>17790216.5</v>
      </c>
      <c r="G214" s="179">
        <f t="shared" si="282"/>
        <v>0</v>
      </c>
      <c r="H214" s="179"/>
      <c r="I214" s="179">
        <f t="shared" si="282"/>
        <v>55430.58</v>
      </c>
      <c r="J214" s="179">
        <f t="shared" si="282"/>
        <v>274136.34</v>
      </c>
      <c r="K214" s="179">
        <f t="shared" si="282"/>
        <v>730935.68</v>
      </c>
      <c r="L214" s="179">
        <f t="shared" si="282"/>
        <v>1648013.6</v>
      </c>
      <c r="M214" s="179">
        <f t="shared" si="282"/>
        <v>21000</v>
      </c>
      <c r="N214" s="816"/>
      <c r="O214" s="817"/>
      <c r="P214" s="818"/>
      <c r="Q214" s="819"/>
      <c r="R214" s="819"/>
      <c r="S214" s="819"/>
      <c r="T214" s="819"/>
      <c r="U214" s="819"/>
      <c r="V214" s="819"/>
      <c r="W214" s="819"/>
      <c r="X214" s="743"/>
      <c r="Y214" s="743"/>
      <c r="Z214" s="179">
        <f t="shared" ref="Z214:AB214" si="283">SUBTOTAL(9,Z10:Z213)</f>
        <v>27059.7005</v>
      </c>
      <c r="AA214" s="179">
        <f t="shared" si="283"/>
        <v>6600.356</v>
      </c>
      <c r="AB214" s="179">
        <f t="shared" si="283"/>
        <v>14565.26</v>
      </c>
      <c r="AC214" s="741"/>
      <c r="AD214" s="741"/>
      <c r="AE214" s="741"/>
      <c r="AF214" s="741"/>
      <c r="AG214" s="741"/>
      <c r="AH214" s="741"/>
      <c r="AI214" s="741"/>
      <c r="AJ214" s="741"/>
      <c r="AK214" s="741"/>
      <c r="AL214" s="741"/>
      <c r="AM214" s="741"/>
      <c r="AN214" s="741"/>
      <c r="AO214" s="741"/>
      <c r="AP214" s="741"/>
      <c r="AQ214" s="743">
        <f>SUBTOTAL(9,AQ12:AQ213)</f>
        <v>0</v>
      </c>
      <c r="AR214" s="742"/>
      <c r="AS214" s="744"/>
      <c r="AT214" s="745"/>
      <c r="AU214" s="746"/>
      <c r="AV214" s="772"/>
      <c r="AW214" s="179"/>
      <c r="AX214" s="226"/>
      <c r="AY214" s="226"/>
      <c r="AZ214" s="226"/>
      <c r="BA214" s="226"/>
      <c r="BB214" s="198"/>
      <c r="BC214" s="179"/>
      <c r="BD214" s="179"/>
      <c r="BE214" s="179"/>
      <c r="BF214" s="179"/>
      <c r="BG214" s="179"/>
      <c r="BH214" s="179"/>
      <c r="BI214" s="747"/>
      <c r="BJ214" s="179"/>
      <c r="BK214" s="179"/>
      <c r="BL214" s="179"/>
      <c r="BM214" s="824"/>
      <c r="BN214" s="824"/>
      <c r="BO214" s="824"/>
      <c r="BP214" s="179"/>
      <c r="BQ214" s="179"/>
      <c r="BR214" s="179"/>
      <c r="BS214" s="179"/>
      <c r="BT214" s="179"/>
      <c r="BU214" s="179"/>
      <c r="BV214" s="747"/>
      <c r="BW214" s="825"/>
      <c r="BY214" s="217"/>
      <c r="BZ214" s="748"/>
      <c r="CA214" s="217"/>
      <c r="CB214" s="217"/>
      <c r="CC214" s="217"/>
    </row>
    <row r="215" spans="17:42">
      <c r="Q215" s="819"/>
      <c r="R215" s="819"/>
      <c r="S215" s="819"/>
      <c r="T215" s="819"/>
      <c r="U215" s="819"/>
      <c r="V215" s="819"/>
      <c r="W215" s="819"/>
      <c r="Z215" s="741"/>
      <c r="AA215" s="741"/>
      <c r="AB215" s="741"/>
      <c r="AC215" s="741"/>
      <c r="AD215" s="741"/>
      <c r="AE215" s="741"/>
      <c r="AF215" s="741"/>
      <c r="AG215" s="741"/>
      <c r="AH215" s="741"/>
      <c r="AI215" s="741"/>
      <c r="AJ215" s="741"/>
      <c r="AK215" s="741"/>
      <c r="AL215" s="741"/>
      <c r="AM215" s="741"/>
      <c r="AN215" s="741"/>
      <c r="AO215" s="741"/>
      <c r="AP215" s="741"/>
    </row>
    <row r="216" spans="17:42">
      <c r="Q216" s="820"/>
      <c r="R216" s="820"/>
      <c r="S216" s="820"/>
      <c r="T216" s="820"/>
      <c r="U216" s="820"/>
      <c r="V216" s="820"/>
      <c r="W216" s="820"/>
      <c r="Z216" s="822"/>
      <c r="AA216" s="822"/>
      <c r="AB216" s="822"/>
      <c r="AC216" s="822"/>
      <c r="AD216" s="822"/>
      <c r="AE216" s="822"/>
      <c r="AF216" s="822"/>
      <c r="AG216" s="822"/>
      <c r="AH216" s="822"/>
      <c r="AI216" s="822"/>
      <c r="AJ216" s="822"/>
      <c r="AK216" s="822"/>
      <c r="AL216" s="822"/>
      <c r="AM216" s="822"/>
      <c r="AN216" s="822"/>
      <c r="AO216" s="822"/>
      <c r="AP216" s="822"/>
    </row>
    <row r="217" spans="17:42">
      <c r="Q217" s="818"/>
      <c r="R217" s="818"/>
      <c r="S217" s="818"/>
      <c r="T217" s="818"/>
      <c r="U217" s="818"/>
      <c r="V217" s="818"/>
      <c r="W217" s="818"/>
      <c r="Z217" s="742"/>
      <c r="AA217" s="742"/>
      <c r="AB217" s="742"/>
      <c r="AC217" s="742"/>
      <c r="AD217" s="742"/>
      <c r="AE217" s="742"/>
      <c r="AF217" s="742"/>
      <c r="AG217" s="742"/>
      <c r="AH217" s="742"/>
      <c r="AI217" s="742"/>
      <c r="AJ217" s="742"/>
      <c r="AK217" s="742"/>
      <c r="AL217" s="742"/>
      <c r="AM217" s="742"/>
      <c r="AN217" s="742"/>
      <c r="AO217" s="742"/>
      <c r="AP217" s="742"/>
    </row>
  </sheetData>
  <autoFilter ref="A6:BX213">
    <extLst/>
  </autoFilter>
  <mergeCells count="63">
    <mergeCell ref="A1:X1"/>
    <mergeCell ref="A2:AV2"/>
    <mergeCell ref="A3:B3"/>
    <mergeCell ref="AS3:AU3"/>
    <mergeCell ref="H4:N4"/>
    <mergeCell ref="O4:P4"/>
    <mergeCell ref="Q4:W4"/>
    <mergeCell ref="Z4:AB4"/>
    <mergeCell ref="AC4:AE4"/>
    <mergeCell ref="AF4:AH4"/>
    <mergeCell ref="AI4:AK4"/>
    <mergeCell ref="AL4:AP4"/>
    <mergeCell ref="BF4:BH4"/>
    <mergeCell ref="A7:D7"/>
    <mergeCell ref="B8:D8"/>
    <mergeCell ref="B71:D71"/>
    <mergeCell ref="B78:D78"/>
    <mergeCell ref="B96:E96"/>
    <mergeCell ref="B129:D129"/>
    <mergeCell ref="B161:D161"/>
    <mergeCell ref="B164:D164"/>
    <mergeCell ref="B188:D188"/>
    <mergeCell ref="A4:A5"/>
    <mergeCell ref="B4:B5"/>
    <mergeCell ref="C4:C5"/>
    <mergeCell ref="D4:D5"/>
    <mergeCell ref="E4:E5"/>
    <mergeCell ref="F4:F5"/>
    <mergeCell ref="X4:X5"/>
    <mergeCell ref="Y4:Y5"/>
    <mergeCell ref="AQ4:AQ5"/>
    <mergeCell ref="AR4:AR5"/>
    <mergeCell ref="AS4:AS5"/>
    <mergeCell ref="AT4:AT5"/>
    <mergeCell ref="AU4:AU5"/>
    <mergeCell ref="AV4:AV5"/>
    <mergeCell ref="AW4:AW5"/>
    <mergeCell ref="AX4:AX5"/>
    <mergeCell ref="AY4:AY5"/>
    <mergeCell ref="AZ4:AZ5"/>
    <mergeCell ref="BA4:BA5"/>
    <mergeCell ref="BB4:BB5"/>
    <mergeCell ref="BC4:BC5"/>
    <mergeCell ref="BD4:BD5"/>
    <mergeCell ref="BE4:BE5"/>
    <mergeCell ref="BI4:BI5"/>
    <mergeCell ref="BJ4:BJ5"/>
    <mergeCell ref="BK4:BK5"/>
    <mergeCell ref="BL4:BL5"/>
    <mergeCell ref="BM4:BM5"/>
    <mergeCell ref="BN4:BN5"/>
    <mergeCell ref="BO4:BO5"/>
    <mergeCell ref="BP4:BP5"/>
    <mergeCell ref="BQ4:BQ5"/>
    <mergeCell ref="BR4:BR5"/>
    <mergeCell ref="BS4:BS5"/>
    <mergeCell ref="BT4:BT5"/>
    <mergeCell ref="BU4:BU5"/>
    <mergeCell ref="BV4:BV5"/>
    <mergeCell ref="BW4:BW5"/>
    <mergeCell ref="BX4:BX5"/>
    <mergeCell ref="BY4:BY5"/>
    <mergeCell ref="BZ4:BZ5"/>
  </mergeCells>
  <printOptions horizontalCentered="1"/>
  <pageMargins left="0.2" right="0.2" top="0.509722222222222" bottom="0.55" header="0.509722222222222" footer="0.279861111111111"/>
  <pageSetup paperSize="9" scale="59" firstPageNumber="4294963191" fitToHeight="0" orientation="landscape" blackAndWhite="1" useFirstPageNumber="1"/>
  <headerFooter alignWithMargins="0">
    <oddFooter>&amp;C第 &amp;P 页，共 &amp;N 页</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9"/>
    <pageSetUpPr fitToPage="1"/>
  </sheetPr>
  <dimension ref="A1:CG201"/>
  <sheetViews>
    <sheetView showZeros="0" zoomScale="70" zoomScaleNormal="70" workbookViewId="0">
      <pane xSplit="2" ySplit="5" topLeftCell="C75" activePane="bottomRight" state="frozen"/>
      <selection/>
      <selection pane="topRight"/>
      <selection pane="bottomLeft"/>
      <selection pane="bottomRight" activeCell="B76" sqref="B76"/>
    </sheetView>
  </sheetViews>
  <sheetFormatPr defaultColWidth="10.2857142857143" defaultRowHeight="12.75"/>
  <cols>
    <col min="1" max="1" width="6.71428571428571" style="530" customWidth="1"/>
    <col min="2" max="2" width="21.4285714285714" style="531" customWidth="1"/>
    <col min="3" max="3" width="6.14285714285714" style="201" customWidth="1"/>
    <col min="4" max="4" width="30.7142857142857" style="206" customWidth="1"/>
    <col min="5" max="5" width="6.42857142857143" style="201" customWidth="1"/>
    <col min="6" max="6" width="14.1428571428571" style="533" customWidth="1"/>
    <col min="7" max="7" width="12.2857142857143" style="533" customWidth="1"/>
    <col min="8" max="8" width="17.1428571428571" style="661" customWidth="1"/>
    <col min="9" max="11" width="12.7142857142857" style="661" customWidth="1"/>
    <col min="12" max="13" width="12.7142857142857" style="533" customWidth="1"/>
    <col min="14" max="14" width="12.7142857142857" style="534" hidden="1" customWidth="1"/>
    <col min="15" max="15" width="12.7142857142857" style="533" hidden="1" customWidth="1"/>
    <col min="16" max="16" width="25.5714285714286" style="536" hidden="1" customWidth="1"/>
    <col min="17" max="17" width="22.7142857142857" style="536" hidden="1" customWidth="1"/>
    <col min="18" max="18" width="8.28571428571429" style="535" hidden="1" customWidth="1"/>
    <col min="19" max="19" width="7.28571428571429" style="535" hidden="1" customWidth="1"/>
    <col min="20" max="20" width="8.57142857142857" style="535" hidden="1" customWidth="1"/>
    <col min="21" max="21" width="7.28571428571429" style="535" hidden="1" customWidth="1"/>
    <col min="22" max="23" width="7.14285714285714" style="535" hidden="1" customWidth="1"/>
    <col min="24" max="24" width="7.57142857142857" style="535" hidden="1" customWidth="1"/>
    <col min="25" max="25" width="7.71428571428571" style="535" hidden="1" customWidth="1"/>
    <col min="26" max="26" width="7.57142857142857" style="535" hidden="1" customWidth="1"/>
    <col min="27" max="28" width="8.57142857142857" style="535" hidden="1" customWidth="1"/>
    <col min="29" max="29" width="7.28571428571429" style="535" hidden="1" customWidth="1"/>
    <col min="30" max="33" width="8.42857142857143" style="535" hidden="1" customWidth="1"/>
    <col min="34" max="34" width="9.28571428571429" style="535" hidden="1" customWidth="1"/>
    <col min="35" max="35" width="14.2857142857143" style="536" hidden="1" customWidth="1"/>
    <col min="36" max="36" width="33.5714285714286" style="536" customWidth="1"/>
    <col min="37" max="37" width="17.7142857142857" style="537" customWidth="1"/>
    <col min="38" max="38" width="13.8571428571429" style="538" customWidth="1"/>
    <col min="39" max="39" width="15.7142857142857" style="539" customWidth="1"/>
    <col min="40" max="40" width="24.2857142857143" style="540" hidden="1" customWidth="1"/>
    <col min="41" max="41" width="10.2857142857143" style="201" hidden="1" customWidth="1"/>
    <col min="42" max="46" width="10" style="6" hidden="1" customWidth="1"/>
    <col min="47" max="47" width="10.2857142857143" style="201" hidden="1" customWidth="1"/>
    <col min="48" max="48" width="10.2857142857143" style="203" hidden="1" customWidth="1"/>
    <col min="49" max="49" width="10" style="201" hidden="1" customWidth="1"/>
    <col min="50" max="50" width="14" style="201" hidden="1" customWidth="1"/>
    <col min="51" max="52" width="11" style="201" hidden="1" customWidth="1"/>
    <col min="53" max="53" width="9.14285714285714" style="201" hidden="1" customWidth="1"/>
    <col min="54" max="56" width="11" style="201" hidden="1" customWidth="1"/>
    <col min="57" max="57" width="9.14285714285714" style="201" hidden="1" customWidth="1"/>
    <col min="58" max="58" width="10.2857142857143" style="206" hidden="1" customWidth="1"/>
    <col min="59" max="59" width="10.2857142857143" style="203" hidden="1" customWidth="1"/>
    <col min="60" max="62" width="10.2857142857143" style="204" hidden="1" customWidth="1"/>
    <col min="63" max="71" width="10.2857142857143" style="206" hidden="1" customWidth="1"/>
    <col min="72" max="72" width="18.7142857142857" style="541" hidden="1" customWidth="1"/>
    <col min="73" max="73" width="13.7142857142857" style="7" hidden="1" customWidth="1"/>
    <col min="74" max="74" width="7.57142857142857" style="7" hidden="1" customWidth="1"/>
    <col min="75" max="75" width="14.2857142857143" style="206" hidden="1" customWidth="1"/>
    <col min="76" max="76" width="11" style="225" customWidth="1"/>
    <col min="77" max="77" width="10.2857142857143" style="206" customWidth="1"/>
    <col min="78" max="78" width="25.7142857142857" style="206" customWidth="1"/>
    <col min="79" max="79" width="15.7142857142857" style="206" customWidth="1"/>
    <col min="80" max="85" width="10.2857142857143" style="7" customWidth="1"/>
    <col min="86" max="16384" width="10.2857142857143" style="4"/>
  </cols>
  <sheetData>
    <row r="1" ht="21.6" customHeight="1" spans="1:72">
      <c r="A1" s="542"/>
      <c r="B1" s="542"/>
      <c r="C1" s="542"/>
      <c r="D1" s="542"/>
      <c r="E1" s="542"/>
      <c r="F1" s="542"/>
      <c r="G1" s="542"/>
      <c r="H1" s="542"/>
      <c r="I1" s="542"/>
      <c r="J1" s="542"/>
      <c r="K1" s="542"/>
      <c r="L1" s="542"/>
      <c r="M1" s="542"/>
      <c r="N1" s="566"/>
      <c r="O1" s="567"/>
      <c r="P1" s="542"/>
      <c r="Q1" s="542"/>
      <c r="R1" s="568"/>
      <c r="S1" s="568"/>
      <c r="T1" s="568"/>
      <c r="U1" s="568"/>
      <c r="V1" s="568"/>
      <c r="W1" s="568"/>
      <c r="X1" s="568"/>
      <c r="Y1" s="568"/>
      <c r="Z1" s="568"/>
      <c r="AA1" s="568"/>
      <c r="AB1" s="568"/>
      <c r="AC1" s="568"/>
      <c r="AD1" s="568"/>
      <c r="AE1" s="568"/>
      <c r="AF1" s="568"/>
      <c r="AG1" s="568"/>
      <c r="AH1" s="568"/>
      <c r="AI1" s="542"/>
      <c r="AJ1" s="542"/>
      <c r="BF1" s="201"/>
      <c r="BK1" s="201"/>
      <c r="BL1" s="201"/>
      <c r="BM1" s="201"/>
      <c r="BN1" s="201"/>
      <c r="BO1" s="201"/>
      <c r="BP1" s="201"/>
      <c r="BQ1" s="201"/>
      <c r="BR1" s="201"/>
      <c r="BS1" s="201"/>
      <c r="BT1" s="7"/>
    </row>
    <row r="2" ht="59.45" customHeight="1" spans="1:85">
      <c r="A2" s="543" t="s">
        <v>2170</v>
      </c>
      <c r="B2" s="543"/>
      <c r="C2" s="543"/>
      <c r="D2" s="543"/>
      <c r="E2" s="543"/>
      <c r="F2" s="543"/>
      <c r="G2" s="543"/>
      <c r="H2" s="543"/>
      <c r="I2" s="543"/>
      <c r="J2" s="543"/>
      <c r="K2" s="543"/>
      <c r="L2" s="543"/>
      <c r="M2" s="543"/>
      <c r="N2" s="543"/>
      <c r="O2" s="543"/>
      <c r="P2" s="543"/>
      <c r="Q2" s="543"/>
      <c r="R2" s="543"/>
      <c r="S2" s="543"/>
      <c r="T2" s="543"/>
      <c r="U2" s="543"/>
      <c r="V2" s="543"/>
      <c r="W2" s="543"/>
      <c r="X2" s="543"/>
      <c r="Y2" s="543"/>
      <c r="Z2" s="543"/>
      <c r="AA2" s="543"/>
      <c r="AB2" s="543"/>
      <c r="AC2" s="543"/>
      <c r="AD2" s="543"/>
      <c r="AE2" s="543"/>
      <c r="AF2" s="543"/>
      <c r="AG2" s="543"/>
      <c r="AH2" s="543"/>
      <c r="AI2" s="543"/>
      <c r="AJ2" s="680"/>
      <c r="AK2" s="543"/>
      <c r="AL2" s="543"/>
      <c r="AM2" s="543"/>
      <c r="AN2" s="543"/>
      <c r="AO2" s="571"/>
      <c r="AP2" s="597"/>
      <c r="AQ2" s="598"/>
      <c r="AR2" s="598"/>
      <c r="AS2" s="598"/>
      <c r="AT2" s="598"/>
      <c r="AU2" s="599"/>
      <c r="AV2" s="605"/>
      <c r="AW2" s="599"/>
      <c r="AY2" s="599"/>
      <c r="AZ2" s="599"/>
      <c r="BA2" s="599"/>
      <c r="BB2" s="599"/>
      <c r="BC2" s="599"/>
      <c r="BD2" s="599"/>
      <c r="BE2" s="599"/>
      <c r="BF2" s="599"/>
      <c r="BG2" s="605"/>
      <c r="BH2" s="613"/>
      <c r="BI2" s="613"/>
      <c r="BJ2" s="613"/>
      <c r="BK2" s="599"/>
      <c r="BL2" s="599"/>
      <c r="BM2" s="599"/>
      <c r="BN2" s="599"/>
      <c r="BO2" s="599"/>
      <c r="BP2" s="599"/>
      <c r="BQ2" s="599"/>
      <c r="BR2" s="599"/>
      <c r="BS2" s="599"/>
      <c r="BT2" s="4"/>
      <c r="BU2" s="4"/>
      <c r="BV2" s="4"/>
      <c r="BW2" s="620"/>
      <c r="BX2" s="621"/>
      <c r="BY2" s="620"/>
      <c r="BZ2" s="620"/>
      <c r="CA2" s="620"/>
      <c r="CB2" s="4"/>
      <c r="CC2" s="4"/>
      <c r="CD2" s="4"/>
      <c r="CE2" s="4"/>
      <c r="CF2" s="4"/>
      <c r="CG2" s="4"/>
    </row>
    <row r="3" s="9" customFormat="1" ht="19.15" customHeight="1" spans="1:79">
      <c r="A3" s="545"/>
      <c r="B3" s="546"/>
      <c r="C3" s="547"/>
      <c r="D3" s="662"/>
      <c r="E3" s="547"/>
      <c r="F3" s="549"/>
      <c r="G3" s="550"/>
      <c r="H3" s="663"/>
      <c r="I3" s="550"/>
      <c r="J3" s="550"/>
      <c r="K3" s="550"/>
      <c r="L3" s="550"/>
      <c r="M3" s="550"/>
      <c r="N3" s="572" t="s">
        <v>2</v>
      </c>
      <c r="O3" s="550" t="s">
        <v>2</v>
      </c>
      <c r="P3" s="673"/>
      <c r="Q3" s="673"/>
      <c r="R3" s="677"/>
      <c r="S3" s="677"/>
      <c r="T3" s="677"/>
      <c r="U3" s="677"/>
      <c r="V3" s="677"/>
      <c r="W3" s="677"/>
      <c r="X3" s="677"/>
      <c r="Y3" s="677"/>
      <c r="Z3" s="677"/>
      <c r="AA3" s="677"/>
      <c r="AB3" s="677"/>
      <c r="AC3" s="677"/>
      <c r="AD3" s="677"/>
      <c r="AE3" s="677"/>
      <c r="AF3" s="677"/>
      <c r="AG3" s="677"/>
      <c r="AH3" s="677"/>
      <c r="AI3" s="550" t="s">
        <v>2</v>
      </c>
      <c r="AJ3" s="673"/>
      <c r="AK3" s="587" t="s">
        <v>3</v>
      </c>
      <c r="AL3" s="587"/>
      <c r="AM3" s="588"/>
      <c r="AN3" s="589"/>
      <c r="AO3" s="10"/>
      <c r="AP3" s="10" t="s">
        <v>4</v>
      </c>
      <c r="AQ3" s="10" t="s">
        <v>4</v>
      </c>
      <c r="AR3" s="10" t="s">
        <v>4</v>
      </c>
      <c r="AS3" s="10"/>
      <c r="AT3" s="10" t="s">
        <v>4</v>
      </c>
      <c r="AU3" s="10" t="s">
        <v>4</v>
      </c>
      <c r="AV3" s="10" t="s">
        <v>4</v>
      </c>
      <c r="AW3" s="10" t="s">
        <v>4</v>
      </c>
      <c r="AX3" s="10" t="s">
        <v>4</v>
      </c>
      <c r="AY3" s="10" t="s">
        <v>4</v>
      </c>
      <c r="AZ3" s="10" t="s">
        <v>4</v>
      </c>
      <c r="BA3" s="10" t="s">
        <v>4</v>
      </c>
      <c r="BB3" s="10" t="s">
        <v>4</v>
      </c>
      <c r="BC3" s="10" t="s">
        <v>4</v>
      </c>
      <c r="BD3" s="10" t="s">
        <v>4</v>
      </c>
      <c r="BE3" s="10"/>
      <c r="BF3" s="10"/>
      <c r="BG3" s="606"/>
      <c r="BH3" s="615"/>
      <c r="BI3" s="615"/>
      <c r="BJ3" s="615"/>
      <c r="BK3" s="10"/>
      <c r="BL3" s="10"/>
      <c r="BM3" s="10"/>
      <c r="BN3" s="10"/>
      <c r="BO3" s="10"/>
      <c r="BP3" s="10"/>
      <c r="BQ3" s="10"/>
      <c r="BR3" s="10"/>
      <c r="BS3" s="10"/>
      <c r="BT3" s="7"/>
      <c r="BW3" s="622"/>
      <c r="BX3" s="623"/>
      <c r="BY3" s="622"/>
      <c r="BZ3" s="622"/>
      <c r="CA3" s="622"/>
    </row>
    <row r="4" s="529" customFormat="1" ht="34.9" customHeight="1" spans="1:79">
      <c r="A4" s="551" t="s">
        <v>1695</v>
      </c>
      <c r="B4" s="551" t="s">
        <v>1696</v>
      </c>
      <c r="C4" s="551" t="s">
        <v>1697</v>
      </c>
      <c r="D4" s="551" t="s">
        <v>1698</v>
      </c>
      <c r="E4" s="552" t="s">
        <v>1699</v>
      </c>
      <c r="F4" s="134" t="s">
        <v>1700</v>
      </c>
      <c r="G4" s="265" t="s">
        <v>1701</v>
      </c>
      <c r="H4" s="553" t="s">
        <v>1702</v>
      </c>
      <c r="I4" s="574"/>
      <c r="J4" s="574"/>
      <c r="K4" s="574"/>
      <c r="L4" s="574"/>
      <c r="M4" s="575"/>
      <c r="N4" s="265" t="s">
        <v>13</v>
      </c>
      <c r="O4" s="265"/>
      <c r="P4" s="99" t="s">
        <v>2171</v>
      </c>
      <c r="Q4" s="99" t="s">
        <v>16</v>
      </c>
      <c r="R4" s="330" t="s">
        <v>17</v>
      </c>
      <c r="S4" s="330"/>
      <c r="T4" s="330"/>
      <c r="U4" s="330" t="s">
        <v>18</v>
      </c>
      <c r="V4" s="330"/>
      <c r="W4" s="330"/>
      <c r="X4" s="330" t="s">
        <v>19</v>
      </c>
      <c r="Y4" s="330"/>
      <c r="Z4" s="330"/>
      <c r="AA4" s="330" t="s">
        <v>20</v>
      </c>
      <c r="AB4" s="330"/>
      <c r="AC4" s="330"/>
      <c r="AD4" s="330" t="s">
        <v>21</v>
      </c>
      <c r="AE4" s="330"/>
      <c r="AF4" s="330"/>
      <c r="AG4" s="330"/>
      <c r="AH4" s="330"/>
      <c r="AI4" s="99" t="s">
        <v>22</v>
      </c>
      <c r="AJ4" s="99" t="s">
        <v>23</v>
      </c>
      <c r="AK4" s="145" t="s">
        <v>2172</v>
      </c>
      <c r="AL4" s="145" t="s">
        <v>1873</v>
      </c>
      <c r="AM4" s="145" t="s">
        <v>1704</v>
      </c>
      <c r="AN4" s="145" t="s">
        <v>26</v>
      </c>
      <c r="AO4" s="601" t="s">
        <v>27</v>
      </c>
      <c r="AP4" s="601" t="s">
        <v>28</v>
      </c>
      <c r="AQ4" s="601" t="s">
        <v>29</v>
      </c>
      <c r="AR4" s="601" t="s">
        <v>30</v>
      </c>
      <c r="AS4" s="601" t="s">
        <v>31</v>
      </c>
      <c r="AT4" s="601" t="s">
        <v>2173</v>
      </c>
      <c r="AU4" s="602" t="s">
        <v>2174</v>
      </c>
      <c r="AV4" s="607" t="s">
        <v>32</v>
      </c>
      <c r="AW4" s="165" t="s">
        <v>33</v>
      </c>
      <c r="AX4" s="157" t="s">
        <v>34</v>
      </c>
      <c r="AY4" s="608" t="s">
        <v>2175</v>
      </c>
      <c r="AZ4" s="608" t="s">
        <v>2176</v>
      </c>
      <c r="BA4" s="608" t="s">
        <v>35</v>
      </c>
      <c r="BB4" s="609" t="s">
        <v>35</v>
      </c>
      <c r="BC4" s="610"/>
      <c r="BD4" s="617"/>
      <c r="BE4" s="608"/>
      <c r="BF4" s="608" t="s">
        <v>38</v>
      </c>
      <c r="BG4" s="157" t="s">
        <v>39</v>
      </c>
      <c r="BH4" s="624" t="s">
        <v>40</v>
      </c>
      <c r="BI4" s="600" t="s">
        <v>41</v>
      </c>
      <c r="BJ4" s="618" t="s">
        <v>2177</v>
      </c>
      <c r="BK4" s="608" t="s">
        <v>2178</v>
      </c>
      <c r="BL4" s="608" t="s">
        <v>2179</v>
      </c>
      <c r="BM4" s="608" t="s">
        <v>2180</v>
      </c>
      <c r="BN4" s="157" t="s">
        <v>1874</v>
      </c>
      <c r="BO4" s="157" t="s">
        <v>1875</v>
      </c>
      <c r="BP4" s="157" t="s">
        <v>1876</v>
      </c>
      <c r="BQ4" s="157" t="s">
        <v>1877</v>
      </c>
      <c r="BR4" s="157" t="s">
        <v>1878</v>
      </c>
      <c r="BS4" s="157" t="s">
        <v>1879</v>
      </c>
      <c r="BT4" s="202" t="s">
        <v>2181</v>
      </c>
      <c r="BU4" s="624" t="s">
        <v>2182</v>
      </c>
      <c r="BV4" s="529" t="s">
        <v>1880</v>
      </c>
      <c r="BW4" s="600" t="s">
        <v>2183</v>
      </c>
      <c r="BX4" s="625"/>
      <c r="BY4" s="600"/>
      <c r="BZ4" s="600"/>
      <c r="CA4" s="600"/>
    </row>
    <row r="5" s="529" customFormat="1" ht="41.25" customHeight="1" spans="1:79">
      <c r="A5" s="551"/>
      <c r="B5" s="551"/>
      <c r="C5" s="551"/>
      <c r="D5" s="551"/>
      <c r="E5" s="552"/>
      <c r="F5" s="134"/>
      <c r="G5" s="265"/>
      <c r="H5" s="265" t="s">
        <v>2184</v>
      </c>
      <c r="I5" s="265" t="s">
        <v>1884</v>
      </c>
      <c r="J5" s="265" t="s">
        <v>1885</v>
      </c>
      <c r="K5" s="265" t="s">
        <v>1886</v>
      </c>
      <c r="L5" s="265" t="s">
        <v>1887</v>
      </c>
      <c r="M5" s="265" t="s">
        <v>1888</v>
      </c>
      <c r="N5" s="576" t="s">
        <v>2185</v>
      </c>
      <c r="O5" s="265" t="s">
        <v>51</v>
      </c>
      <c r="P5" s="99"/>
      <c r="Q5" s="99"/>
      <c r="R5" s="331" t="s">
        <v>59</v>
      </c>
      <c r="S5" s="331" t="s">
        <v>60</v>
      </c>
      <c r="T5" s="331" t="s">
        <v>61</v>
      </c>
      <c r="U5" s="331" t="s">
        <v>62</v>
      </c>
      <c r="V5" s="331" t="s">
        <v>63</v>
      </c>
      <c r="W5" s="331" t="s">
        <v>61</v>
      </c>
      <c r="X5" s="331" t="s">
        <v>64</v>
      </c>
      <c r="Y5" s="331" t="s">
        <v>65</v>
      </c>
      <c r="Z5" s="331" t="s">
        <v>61</v>
      </c>
      <c r="AA5" s="331" t="s">
        <v>66</v>
      </c>
      <c r="AB5" s="331" t="s">
        <v>67</v>
      </c>
      <c r="AC5" s="331" t="s">
        <v>68</v>
      </c>
      <c r="AD5" s="331" t="s">
        <v>69</v>
      </c>
      <c r="AE5" s="331" t="s">
        <v>70</v>
      </c>
      <c r="AF5" s="331" t="s">
        <v>71</v>
      </c>
      <c r="AG5" s="331" t="s">
        <v>72</v>
      </c>
      <c r="AH5" s="331" t="s">
        <v>73</v>
      </c>
      <c r="AI5" s="99"/>
      <c r="AJ5" s="99"/>
      <c r="AK5" s="145"/>
      <c r="AL5" s="145"/>
      <c r="AM5" s="145"/>
      <c r="AN5" s="145"/>
      <c r="AO5" s="601"/>
      <c r="AP5" s="601"/>
      <c r="AQ5" s="601"/>
      <c r="AR5" s="601"/>
      <c r="AS5" s="601"/>
      <c r="AT5" s="601"/>
      <c r="AU5" s="603"/>
      <c r="AV5" s="607"/>
      <c r="AW5" s="165"/>
      <c r="AX5" s="157"/>
      <c r="AY5" s="611"/>
      <c r="AZ5" s="611"/>
      <c r="BA5" s="611"/>
      <c r="BB5" s="157" t="s">
        <v>74</v>
      </c>
      <c r="BC5" s="157" t="s">
        <v>75</v>
      </c>
      <c r="BD5" s="157"/>
      <c r="BE5" s="611"/>
      <c r="BF5" s="611"/>
      <c r="BG5" s="157"/>
      <c r="BH5" s="624"/>
      <c r="BI5" s="600"/>
      <c r="BJ5" s="618"/>
      <c r="BK5" s="611"/>
      <c r="BL5" s="611"/>
      <c r="BM5" s="611"/>
      <c r="BN5" s="157"/>
      <c r="BO5" s="157"/>
      <c r="BP5" s="157"/>
      <c r="BQ5" s="157"/>
      <c r="BR5" s="157"/>
      <c r="BS5" s="157"/>
      <c r="BT5" s="202"/>
      <c r="BU5" s="624"/>
      <c r="BW5" s="600"/>
      <c r="BX5" s="625"/>
      <c r="BY5" s="600"/>
      <c r="BZ5" s="600"/>
      <c r="CA5" s="600"/>
    </row>
    <row r="6" s="529" customFormat="1" ht="16.15" customHeight="1" spans="1:79">
      <c r="A6" s="551"/>
      <c r="B6" s="554"/>
      <c r="C6" s="551"/>
      <c r="D6" s="554"/>
      <c r="E6" s="552"/>
      <c r="F6" s="134"/>
      <c r="G6" s="265"/>
      <c r="H6" s="664"/>
      <c r="I6" s="664"/>
      <c r="J6" s="664"/>
      <c r="K6" s="664"/>
      <c r="L6" s="265"/>
      <c r="M6" s="265"/>
      <c r="N6" s="576"/>
      <c r="O6" s="265"/>
      <c r="P6" s="585"/>
      <c r="Q6" s="585"/>
      <c r="R6" s="577"/>
      <c r="S6" s="577"/>
      <c r="T6" s="577"/>
      <c r="U6" s="577"/>
      <c r="V6" s="577"/>
      <c r="W6" s="577"/>
      <c r="X6" s="577"/>
      <c r="Y6" s="577"/>
      <c r="Z6" s="577"/>
      <c r="AA6" s="577"/>
      <c r="AB6" s="577"/>
      <c r="AC6" s="577"/>
      <c r="AD6" s="577"/>
      <c r="AE6" s="577"/>
      <c r="AF6" s="577"/>
      <c r="AG6" s="577"/>
      <c r="AH6" s="577"/>
      <c r="AI6" s="585"/>
      <c r="AJ6" s="585"/>
      <c r="AK6" s="590"/>
      <c r="AL6" s="145"/>
      <c r="AM6" s="145"/>
      <c r="AN6" s="590"/>
      <c r="AO6" s="604"/>
      <c r="AP6" s="601"/>
      <c r="AQ6" s="601"/>
      <c r="AR6" s="601"/>
      <c r="AS6" s="601"/>
      <c r="AT6" s="601"/>
      <c r="AU6" s="165"/>
      <c r="AV6" s="607"/>
      <c r="AW6" s="165"/>
      <c r="AX6" s="157"/>
      <c r="AY6" s="157"/>
      <c r="AZ6" s="157"/>
      <c r="BA6" s="157"/>
      <c r="BB6" s="157"/>
      <c r="BC6" s="157"/>
      <c r="BD6" s="157"/>
      <c r="BE6" s="157"/>
      <c r="BF6" s="157"/>
      <c r="BG6" s="606"/>
      <c r="BH6" s="616"/>
      <c r="BI6" s="616"/>
      <c r="BJ6" s="616"/>
      <c r="BK6" s="157"/>
      <c r="BL6" s="157"/>
      <c r="BM6" s="157"/>
      <c r="BN6" s="157"/>
      <c r="BO6" s="157"/>
      <c r="BP6" s="157"/>
      <c r="BQ6" s="157"/>
      <c r="BR6" s="157"/>
      <c r="BS6" s="157"/>
      <c r="BT6" s="202"/>
      <c r="BW6" s="600"/>
      <c r="BX6" s="625"/>
      <c r="BY6" s="600"/>
      <c r="BZ6" s="600"/>
      <c r="CA6" s="600"/>
    </row>
    <row r="7" s="9" customFormat="1" ht="30" customHeight="1" spans="1:72">
      <c r="A7" s="556" t="str">
        <f>"合计（"&amp;SUBTOTAL(3,C9:C198)&amp;"个）"</f>
        <v>合计（153个）</v>
      </c>
      <c r="B7" s="556"/>
      <c r="C7" s="556"/>
      <c r="D7" s="556"/>
      <c r="E7" s="551"/>
      <c r="F7" s="134">
        <f t="shared" ref="F7:M7" si="0">F8+F53+F47+F74+F114+F151+F161+F179</f>
        <v>9524374.59</v>
      </c>
      <c r="G7" s="134">
        <f t="shared" si="0"/>
        <v>1700558.4</v>
      </c>
      <c r="H7" s="134"/>
      <c r="I7" s="134">
        <f t="shared" si="0"/>
        <v>214290</v>
      </c>
      <c r="J7" s="134">
        <f t="shared" si="0"/>
        <v>553780</v>
      </c>
      <c r="K7" s="134">
        <f t="shared" si="0"/>
        <v>998511</v>
      </c>
      <c r="L7" s="134">
        <f t="shared" si="0"/>
        <v>1453662</v>
      </c>
      <c r="M7" s="134">
        <f t="shared" si="0"/>
        <v>56000</v>
      </c>
      <c r="N7" s="133"/>
      <c r="O7" s="134"/>
      <c r="P7" s="674"/>
      <c r="Q7" s="90"/>
      <c r="R7" s="595"/>
      <c r="S7" s="595"/>
      <c r="T7" s="595"/>
      <c r="U7" s="595"/>
      <c r="V7" s="595"/>
      <c r="W7" s="595"/>
      <c r="X7" s="595"/>
      <c r="Y7" s="595"/>
      <c r="Z7" s="595"/>
      <c r="AA7" s="595"/>
      <c r="AB7" s="595"/>
      <c r="AC7" s="595"/>
      <c r="AD7" s="595"/>
      <c r="AE7" s="595"/>
      <c r="AF7" s="595"/>
      <c r="AG7" s="595"/>
      <c r="AH7" s="595"/>
      <c r="AI7" s="90"/>
      <c r="AJ7" s="90"/>
      <c r="AK7" s="591"/>
      <c r="AL7" s="134"/>
      <c r="AM7" s="134"/>
      <c r="AN7" s="91"/>
      <c r="AO7" s="165"/>
      <c r="AP7" s="158"/>
      <c r="AQ7" s="158"/>
      <c r="AR7" s="158" t="str">
        <f t="shared" ref="AR7:AR11" si="1">AQ7&amp;AP7</f>
        <v/>
      </c>
      <c r="AS7" s="158"/>
      <c r="AT7" s="158"/>
      <c r="AU7" s="165"/>
      <c r="AV7" s="169"/>
      <c r="AW7" s="165"/>
      <c r="AX7" s="165"/>
      <c r="AY7" s="165"/>
      <c r="AZ7" s="165"/>
      <c r="BA7" s="165"/>
      <c r="BB7" s="169"/>
      <c r="BC7" s="169"/>
      <c r="BD7" s="169"/>
      <c r="BE7" s="165"/>
      <c r="BF7" s="157"/>
      <c r="BG7" s="685"/>
      <c r="BK7" s="157"/>
      <c r="BL7" s="157"/>
      <c r="BM7" s="157"/>
      <c r="BN7" s="157"/>
      <c r="BO7" s="157"/>
      <c r="BP7" s="157"/>
      <c r="BQ7" s="157"/>
      <c r="BR7" s="157"/>
      <c r="BS7" s="157"/>
      <c r="BT7" s="686"/>
    </row>
    <row r="8" s="9" customFormat="1" ht="30" customHeight="1" spans="1:72">
      <c r="A8" s="551" t="s">
        <v>76</v>
      </c>
      <c r="B8" s="557" t="str">
        <f>"工业（"&amp;SUBTOTAL(3,C10:C46)&amp;"个）"</f>
        <v>工业（29个）</v>
      </c>
      <c r="C8" s="557"/>
      <c r="D8" s="557"/>
      <c r="E8" s="551"/>
      <c r="F8" s="134">
        <f t="shared" ref="F8:M8" si="2">F9+F12+F15+F24+F27+F39+F41+F29+F33</f>
        <v>2463274</v>
      </c>
      <c r="G8" s="134">
        <f t="shared" si="2"/>
        <v>418222</v>
      </c>
      <c r="H8" s="134"/>
      <c r="I8" s="134">
        <f t="shared" si="2"/>
        <v>76900</v>
      </c>
      <c r="J8" s="134">
        <f t="shared" si="2"/>
        <v>189000</v>
      </c>
      <c r="K8" s="134">
        <f t="shared" si="2"/>
        <v>326200</v>
      </c>
      <c r="L8" s="134">
        <f t="shared" si="2"/>
        <v>431500</v>
      </c>
      <c r="M8" s="134">
        <f t="shared" si="2"/>
        <v>50000</v>
      </c>
      <c r="N8" s="133"/>
      <c r="O8" s="134"/>
      <c r="P8" s="674"/>
      <c r="Q8" s="678"/>
      <c r="R8" s="591"/>
      <c r="S8" s="591"/>
      <c r="T8" s="591"/>
      <c r="U8" s="591"/>
      <c r="V8" s="591"/>
      <c r="W8" s="591"/>
      <c r="X8" s="591"/>
      <c r="Y8" s="591"/>
      <c r="Z8" s="591"/>
      <c r="AA8" s="591"/>
      <c r="AB8" s="591"/>
      <c r="AC8" s="591"/>
      <c r="AD8" s="591"/>
      <c r="AE8" s="591"/>
      <c r="AF8" s="591"/>
      <c r="AG8" s="591"/>
      <c r="AH8" s="591"/>
      <c r="AI8" s="678"/>
      <c r="AJ8" s="678"/>
      <c r="AK8" s="591"/>
      <c r="AL8" s="134"/>
      <c r="AM8" s="134"/>
      <c r="AN8" s="91"/>
      <c r="AO8" s="165"/>
      <c r="AP8" s="158"/>
      <c r="AQ8" s="158"/>
      <c r="AR8" s="158"/>
      <c r="AS8" s="158"/>
      <c r="AT8" s="158"/>
      <c r="AU8" s="165"/>
      <c r="AV8" s="169"/>
      <c r="AW8" s="165"/>
      <c r="AX8" s="165"/>
      <c r="AY8" s="165"/>
      <c r="AZ8" s="165"/>
      <c r="BA8" s="165"/>
      <c r="BB8" s="169"/>
      <c r="BC8" s="169"/>
      <c r="BD8" s="169"/>
      <c r="BE8" s="165"/>
      <c r="BF8" s="157"/>
      <c r="BG8" s="685"/>
      <c r="BK8" s="157"/>
      <c r="BL8" s="157"/>
      <c r="BM8" s="157"/>
      <c r="BN8" s="157"/>
      <c r="BO8" s="157"/>
      <c r="BP8" s="157"/>
      <c r="BQ8" s="157"/>
      <c r="BR8" s="157"/>
      <c r="BS8" s="157"/>
      <c r="BT8" s="686"/>
    </row>
    <row r="9" s="9" customFormat="1" ht="30" customHeight="1" spans="1:72">
      <c r="A9" s="551"/>
      <c r="B9" s="557" t="str">
        <f>"钦州港（"&amp;SUBTOTAL(3,C10:C11)&amp;"个）"</f>
        <v>钦州港（2个）</v>
      </c>
      <c r="C9" s="551"/>
      <c r="D9" s="554"/>
      <c r="E9" s="551"/>
      <c r="F9" s="134">
        <f t="shared" ref="F9:M9" si="3">SUBTOTAL(9,F10:F11)</f>
        <v>1152401</v>
      </c>
      <c r="G9" s="134">
        <f t="shared" si="3"/>
        <v>123207</v>
      </c>
      <c r="H9" s="134"/>
      <c r="I9" s="134">
        <f t="shared" si="3"/>
        <v>50000</v>
      </c>
      <c r="J9" s="134">
        <f t="shared" si="3"/>
        <v>121000</v>
      </c>
      <c r="K9" s="134">
        <f t="shared" si="3"/>
        <v>202000</v>
      </c>
      <c r="L9" s="134">
        <f t="shared" si="3"/>
        <v>253000</v>
      </c>
      <c r="M9" s="134">
        <f t="shared" si="3"/>
        <v>0</v>
      </c>
      <c r="N9" s="133"/>
      <c r="O9" s="134"/>
      <c r="P9" s="674"/>
      <c r="Q9" s="90"/>
      <c r="R9" s="595"/>
      <c r="S9" s="595"/>
      <c r="T9" s="595"/>
      <c r="U9" s="595"/>
      <c r="V9" s="595"/>
      <c r="W9" s="595"/>
      <c r="X9" s="595"/>
      <c r="Y9" s="595"/>
      <c r="Z9" s="595"/>
      <c r="AA9" s="595"/>
      <c r="AB9" s="595"/>
      <c r="AC9" s="595"/>
      <c r="AD9" s="595"/>
      <c r="AE9" s="595"/>
      <c r="AF9" s="595"/>
      <c r="AG9" s="595"/>
      <c r="AH9" s="595"/>
      <c r="AI9" s="90"/>
      <c r="AJ9" s="90"/>
      <c r="AK9" s="591"/>
      <c r="AL9" s="134"/>
      <c r="AM9" s="134"/>
      <c r="AN9" s="91"/>
      <c r="AO9" s="165"/>
      <c r="AP9" s="158"/>
      <c r="AQ9" s="158"/>
      <c r="AR9" s="158"/>
      <c r="AS9" s="158"/>
      <c r="AT9" s="158"/>
      <c r="AU9" s="165"/>
      <c r="AV9" s="169"/>
      <c r="AW9" s="165"/>
      <c r="AX9" s="165"/>
      <c r="AY9" s="165"/>
      <c r="AZ9" s="165"/>
      <c r="BA9" s="165"/>
      <c r="BB9" s="169"/>
      <c r="BC9" s="169"/>
      <c r="BD9" s="169"/>
      <c r="BE9" s="165"/>
      <c r="BF9" s="157"/>
      <c r="BG9" s="685"/>
      <c r="BK9" s="157"/>
      <c r="BL9" s="157"/>
      <c r="BM9" s="157"/>
      <c r="BN9" s="157"/>
      <c r="BO9" s="157"/>
      <c r="BP9" s="157"/>
      <c r="BQ9" s="157"/>
      <c r="BR9" s="157"/>
      <c r="BS9" s="157"/>
      <c r="BT9" s="181"/>
    </row>
    <row r="10" s="7" customFormat="1" ht="102.75" customHeight="1" spans="1:75">
      <c r="A10" s="23">
        <f>SUBTOTAL(3,C$7:C10)</f>
        <v>1</v>
      </c>
      <c r="B10" s="60" t="s">
        <v>561</v>
      </c>
      <c r="C10" s="59" t="s">
        <v>562</v>
      </c>
      <c r="D10" s="60" t="s">
        <v>563</v>
      </c>
      <c r="E10" s="59" t="s">
        <v>564</v>
      </c>
      <c r="F10" s="59">
        <v>1098250</v>
      </c>
      <c r="G10" s="59">
        <v>108187</v>
      </c>
      <c r="H10" s="58" t="s">
        <v>565</v>
      </c>
      <c r="I10" s="59">
        <v>50000</v>
      </c>
      <c r="J10" s="59">
        <v>120000</v>
      </c>
      <c r="K10" s="59">
        <v>200000</v>
      </c>
      <c r="L10" s="59">
        <v>250000</v>
      </c>
      <c r="M10" s="59"/>
      <c r="N10" s="61"/>
      <c r="O10" s="136"/>
      <c r="P10" s="90" t="s">
        <v>2186</v>
      </c>
      <c r="Q10" s="60" t="s">
        <v>2187</v>
      </c>
      <c r="R10" s="251">
        <v>2280</v>
      </c>
      <c r="S10" s="251">
        <v>1574.3458</v>
      </c>
      <c r="T10" s="251">
        <v>705.6542</v>
      </c>
      <c r="U10" s="251"/>
      <c r="V10" s="251"/>
      <c r="W10" s="251"/>
      <c r="X10" s="251"/>
      <c r="Y10" s="251"/>
      <c r="Z10" s="251"/>
      <c r="AA10" s="251"/>
      <c r="AB10" s="251"/>
      <c r="AC10" s="251"/>
      <c r="AD10" s="251"/>
      <c r="AE10" s="251"/>
      <c r="AF10" s="251"/>
      <c r="AG10" s="251"/>
      <c r="AH10" s="251"/>
      <c r="AI10" s="60"/>
      <c r="AJ10" s="90" t="s">
        <v>117</v>
      </c>
      <c r="AK10" s="58" t="s">
        <v>566</v>
      </c>
      <c r="AL10" s="59" t="s">
        <v>1896</v>
      </c>
      <c r="AM10" s="67" t="s">
        <v>119</v>
      </c>
      <c r="AN10" s="91" t="s">
        <v>567</v>
      </c>
      <c r="AO10" s="157"/>
      <c r="AP10" s="158" t="s">
        <v>90</v>
      </c>
      <c r="AQ10" s="158" t="s">
        <v>91</v>
      </c>
      <c r="AR10" s="158" t="str">
        <f t="shared" si="1"/>
        <v>工业钦州港</v>
      </c>
      <c r="AS10" s="158" t="str">
        <f t="shared" ref="AS10:AS14" si="4">AQ10</f>
        <v>工业</v>
      </c>
      <c r="AT10" s="158"/>
      <c r="AU10" s="157"/>
      <c r="AV10" s="159"/>
      <c r="AW10" s="160"/>
      <c r="AX10" s="157"/>
      <c r="AY10" s="157"/>
      <c r="AZ10" s="157"/>
      <c r="BA10" s="157"/>
      <c r="BB10" s="157"/>
      <c r="BC10" s="157"/>
      <c r="BD10" s="157"/>
      <c r="BE10" s="157"/>
      <c r="BF10" s="157" t="s">
        <v>92</v>
      </c>
      <c r="BG10" s="203" t="s">
        <v>93</v>
      </c>
      <c r="BH10" s="201" t="str">
        <f t="shared" ref="BH10:BH14" si="5">BF10&amp;AM10</f>
        <v>企业钦州港区管委</v>
      </c>
      <c r="BI10" s="201" t="str">
        <f t="shared" ref="BI10:BI14" si="6">BG10&amp;AM10</f>
        <v>产业钦州港区管委</v>
      </c>
      <c r="BJ10" s="204">
        <f t="shared" ref="BJ10:BJ14" si="7">IF(N10&gt;0,1,0)</f>
        <v>0</v>
      </c>
      <c r="BK10" s="157" t="str">
        <f t="shared" ref="BK10:BK14" si="8">IF(L10&lt;1000,"",AR10&amp;"1000")</f>
        <v>工业钦州港1000</v>
      </c>
      <c r="BL10" s="157" t="str">
        <f t="shared" ref="BL10:BL14" si="9">IF(L10&lt;2000,"",AR10&amp;"2000")</f>
        <v>工业钦州港2000</v>
      </c>
      <c r="BM10" s="157" t="str">
        <f t="shared" ref="BM10:BM14" si="10">IF(L10&lt;5000,"",AR10&amp;"5000")</f>
        <v>工业钦州港5000</v>
      </c>
      <c r="BN10" s="157"/>
      <c r="BO10" s="157">
        <f t="shared" ref="BO10:BO14" si="11">IF(R10&gt;0,1,0)</f>
        <v>1</v>
      </c>
      <c r="BP10" s="157">
        <f t="shared" ref="BP10:BP14" si="12">IF(X10&gt;0,1,0)</f>
        <v>0</v>
      </c>
      <c r="BQ10" s="157">
        <f t="shared" ref="BQ10:BQ14" si="13">IF(U10&gt;0,1,0)</f>
        <v>0</v>
      </c>
      <c r="BR10" s="157">
        <f t="shared" ref="BR10:BR14" si="14">IF(AA10&gt;0,1,0)</f>
        <v>0</v>
      </c>
      <c r="BS10" s="157">
        <f t="shared" ref="BS10:BS14" si="15">IF(AD10&gt;0,1,0)</f>
        <v>0</v>
      </c>
      <c r="BT10" s="181"/>
      <c r="BU10" s="206"/>
      <c r="BW10" s="7" t="s">
        <v>1890</v>
      </c>
    </row>
    <row r="11" s="9" customFormat="1" ht="51" customHeight="1" spans="1:72">
      <c r="A11" s="23">
        <f>SUBTOTAL(3,C$7:C11)</f>
        <v>2</v>
      </c>
      <c r="B11" s="60" t="s">
        <v>568</v>
      </c>
      <c r="C11" s="23" t="s">
        <v>562</v>
      </c>
      <c r="D11" s="60" t="s">
        <v>569</v>
      </c>
      <c r="E11" s="23" t="s">
        <v>564</v>
      </c>
      <c r="F11" s="67">
        <v>54151</v>
      </c>
      <c r="G11" s="67">
        <v>15020</v>
      </c>
      <c r="H11" s="123" t="s">
        <v>570</v>
      </c>
      <c r="I11" s="67"/>
      <c r="J11" s="67">
        <v>1000</v>
      </c>
      <c r="K11" s="67">
        <v>2000</v>
      </c>
      <c r="L11" s="67">
        <v>3000</v>
      </c>
      <c r="M11" s="67"/>
      <c r="N11" s="134"/>
      <c r="O11" s="134"/>
      <c r="P11" s="90" t="s">
        <v>2188</v>
      </c>
      <c r="Q11" s="90" t="s">
        <v>2189</v>
      </c>
      <c r="R11" s="132">
        <v>477</v>
      </c>
      <c r="S11" s="132"/>
      <c r="T11" s="132"/>
      <c r="U11" s="132"/>
      <c r="V11" s="132"/>
      <c r="W11" s="132"/>
      <c r="X11" s="132"/>
      <c r="Y11" s="132"/>
      <c r="Z11" s="132"/>
      <c r="AA11" s="132"/>
      <c r="AB11" s="132"/>
      <c r="AC11" s="132"/>
      <c r="AD11" s="132">
        <v>3000</v>
      </c>
      <c r="AE11" s="132"/>
      <c r="AF11" s="132">
        <v>3000</v>
      </c>
      <c r="AG11" s="132"/>
      <c r="AH11" s="132"/>
      <c r="AI11" s="90"/>
      <c r="AJ11" s="90" t="s">
        <v>571</v>
      </c>
      <c r="AK11" s="123" t="s">
        <v>572</v>
      </c>
      <c r="AL11" s="67" t="s">
        <v>2190</v>
      </c>
      <c r="AM11" s="67" t="s">
        <v>119</v>
      </c>
      <c r="AN11" s="91"/>
      <c r="AO11" s="165"/>
      <c r="AP11" s="158" t="s">
        <v>90</v>
      </c>
      <c r="AQ11" s="158" t="s">
        <v>91</v>
      </c>
      <c r="AR11" s="158" t="str">
        <f t="shared" si="1"/>
        <v>工业钦州港</v>
      </c>
      <c r="AS11" s="158" t="str">
        <f t="shared" si="4"/>
        <v>工业</v>
      </c>
      <c r="AT11" s="158"/>
      <c r="AU11" s="165"/>
      <c r="AV11" s="169"/>
      <c r="AW11" s="165"/>
      <c r="AX11" s="165"/>
      <c r="AY11" s="165"/>
      <c r="AZ11" s="165"/>
      <c r="BA11" s="165"/>
      <c r="BB11" s="169"/>
      <c r="BC11" s="169"/>
      <c r="BD11" s="169"/>
      <c r="BE11" s="165"/>
      <c r="BF11" s="157" t="s">
        <v>92</v>
      </c>
      <c r="BG11" s="203" t="s">
        <v>93</v>
      </c>
      <c r="BH11" s="201" t="str">
        <f t="shared" si="5"/>
        <v>企业钦州港区管委</v>
      </c>
      <c r="BI11" s="201" t="str">
        <f t="shared" si="6"/>
        <v>产业钦州港区管委</v>
      </c>
      <c r="BK11" s="157"/>
      <c r="BL11" s="157"/>
      <c r="BM11" s="157"/>
      <c r="BN11" s="157"/>
      <c r="BO11" s="157">
        <f t="shared" si="11"/>
        <v>1</v>
      </c>
      <c r="BP11" s="157">
        <f t="shared" si="12"/>
        <v>0</v>
      </c>
      <c r="BQ11" s="157">
        <f t="shared" si="13"/>
        <v>0</v>
      </c>
      <c r="BR11" s="157">
        <f t="shared" si="14"/>
        <v>0</v>
      </c>
      <c r="BS11" s="157">
        <f t="shared" si="15"/>
        <v>1</v>
      </c>
      <c r="BT11" s="181"/>
    </row>
    <row r="12" s="9" customFormat="1" ht="30" customHeight="1" spans="1:72">
      <c r="A12" s="551"/>
      <c r="B12" s="557" t="str">
        <f>"保税港（"&amp;SUBTOTAL(3,C13:C14)&amp;"个）"</f>
        <v>保税港（2个）</v>
      </c>
      <c r="C12" s="551"/>
      <c r="D12" s="554"/>
      <c r="E12" s="551"/>
      <c r="F12" s="134">
        <f t="shared" ref="F12:M12" si="16">SUBTOTAL(9,F13:F14)</f>
        <v>18600</v>
      </c>
      <c r="G12" s="134">
        <f t="shared" si="16"/>
        <v>8726</v>
      </c>
      <c r="H12" s="134"/>
      <c r="I12" s="134">
        <f t="shared" si="16"/>
        <v>0</v>
      </c>
      <c r="J12" s="134">
        <f t="shared" si="16"/>
        <v>2000</v>
      </c>
      <c r="K12" s="134">
        <f t="shared" si="16"/>
        <v>5000</v>
      </c>
      <c r="L12" s="134">
        <f t="shared" si="16"/>
        <v>7000</v>
      </c>
      <c r="M12" s="134">
        <f t="shared" si="16"/>
        <v>0</v>
      </c>
      <c r="N12" s="133"/>
      <c r="O12" s="134"/>
      <c r="P12" s="674"/>
      <c r="Q12" s="90"/>
      <c r="R12" s="132"/>
      <c r="S12" s="132"/>
      <c r="T12" s="132"/>
      <c r="U12" s="132"/>
      <c r="V12" s="132"/>
      <c r="W12" s="132"/>
      <c r="X12" s="132"/>
      <c r="Y12" s="132"/>
      <c r="Z12" s="132"/>
      <c r="AA12" s="132"/>
      <c r="AB12" s="132"/>
      <c r="AC12" s="132"/>
      <c r="AD12" s="132"/>
      <c r="AE12" s="132"/>
      <c r="AF12" s="132"/>
      <c r="AG12" s="132"/>
      <c r="AH12" s="132"/>
      <c r="AI12" s="90"/>
      <c r="AJ12" s="90"/>
      <c r="AK12" s="591"/>
      <c r="AL12" s="134"/>
      <c r="AM12" s="134"/>
      <c r="AN12" s="91"/>
      <c r="AO12" s="165"/>
      <c r="AP12" s="158"/>
      <c r="AQ12" s="158"/>
      <c r="AR12" s="158"/>
      <c r="AS12" s="158"/>
      <c r="AT12" s="158"/>
      <c r="AU12" s="165"/>
      <c r="AV12" s="169"/>
      <c r="AW12" s="165"/>
      <c r="AX12" s="165"/>
      <c r="AY12" s="165"/>
      <c r="AZ12" s="165"/>
      <c r="BA12" s="165"/>
      <c r="BB12" s="169"/>
      <c r="BC12" s="169"/>
      <c r="BD12" s="169"/>
      <c r="BE12" s="165"/>
      <c r="BF12" s="157"/>
      <c r="BG12" s="685"/>
      <c r="BK12" s="157"/>
      <c r="BL12" s="157"/>
      <c r="BM12" s="157"/>
      <c r="BN12" s="157"/>
      <c r="BO12" s="157"/>
      <c r="BP12" s="157"/>
      <c r="BQ12" s="157"/>
      <c r="BR12" s="157"/>
      <c r="BS12" s="157"/>
      <c r="BT12" s="181"/>
    </row>
    <row r="13" ht="70.5" customHeight="1" spans="1:79">
      <c r="A13" s="23">
        <f>SUBTOTAL(3,C$7:C13)</f>
        <v>3</v>
      </c>
      <c r="B13" s="60" t="s">
        <v>573</v>
      </c>
      <c r="C13" s="23" t="s">
        <v>562</v>
      </c>
      <c r="D13" s="88" t="s">
        <v>574</v>
      </c>
      <c r="E13" s="23" t="s">
        <v>575</v>
      </c>
      <c r="F13" s="67">
        <v>10600</v>
      </c>
      <c r="G13" s="38">
        <v>5936</v>
      </c>
      <c r="H13" s="112" t="s">
        <v>576</v>
      </c>
      <c r="I13" s="36"/>
      <c r="J13" s="36">
        <v>1000</v>
      </c>
      <c r="K13" s="36">
        <v>2500</v>
      </c>
      <c r="L13" s="38">
        <v>4000</v>
      </c>
      <c r="M13" s="38"/>
      <c r="N13" s="36"/>
      <c r="O13" s="76"/>
      <c r="P13" s="137" t="s">
        <v>2191</v>
      </c>
      <c r="Q13" s="90" t="s">
        <v>2192</v>
      </c>
      <c r="R13" s="132"/>
      <c r="S13" s="132"/>
      <c r="T13" s="132"/>
      <c r="U13" s="132"/>
      <c r="V13" s="132"/>
      <c r="W13" s="132"/>
      <c r="X13" s="132"/>
      <c r="Y13" s="132"/>
      <c r="Z13" s="132"/>
      <c r="AA13" s="132"/>
      <c r="AB13" s="132"/>
      <c r="AC13" s="132"/>
      <c r="AD13" s="132"/>
      <c r="AE13" s="132"/>
      <c r="AF13" s="132"/>
      <c r="AG13" s="132"/>
      <c r="AH13" s="132">
        <v>4000</v>
      </c>
      <c r="AI13" s="90"/>
      <c r="AJ13" s="90" t="s">
        <v>577</v>
      </c>
      <c r="AK13" s="123" t="s">
        <v>578</v>
      </c>
      <c r="AL13" s="67" t="s">
        <v>2193</v>
      </c>
      <c r="AM13" s="67" t="s">
        <v>166</v>
      </c>
      <c r="AN13" s="91"/>
      <c r="AO13" s="157"/>
      <c r="AP13" s="158" t="s">
        <v>167</v>
      </c>
      <c r="AQ13" s="158" t="s">
        <v>91</v>
      </c>
      <c r="AR13" s="158" t="str">
        <f t="shared" ref="AR13:AR16" si="17">AQ13&amp;AP13</f>
        <v>工业保税港</v>
      </c>
      <c r="AS13" s="158" t="str">
        <f t="shared" si="4"/>
        <v>工业</v>
      </c>
      <c r="AT13" s="158"/>
      <c r="AU13" s="161"/>
      <c r="AV13" s="161"/>
      <c r="AW13" s="160"/>
      <c r="AX13" s="157"/>
      <c r="AY13" s="157"/>
      <c r="AZ13" s="157"/>
      <c r="BA13" s="157"/>
      <c r="BB13" s="157"/>
      <c r="BC13" s="157"/>
      <c r="BD13" s="157"/>
      <c r="BE13" s="157"/>
      <c r="BF13" s="157" t="s">
        <v>92</v>
      </c>
      <c r="BG13" s="203" t="s">
        <v>93</v>
      </c>
      <c r="BH13" s="201" t="str">
        <f t="shared" si="5"/>
        <v>企业钦州保税港区管委</v>
      </c>
      <c r="BI13" s="201" t="str">
        <f t="shared" si="6"/>
        <v>产业钦州保税港区管委</v>
      </c>
      <c r="BJ13" s="204">
        <f t="shared" si="7"/>
        <v>0</v>
      </c>
      <c r="BK13" s="157" t="str">
        <f t="shared" si="8"/>
        <v>工业保税港1000</v>
      </c>
      <c r="BL13" s="157" t="str">
        <f t="shared" si="9"/>
        <v>工业保税港2000</v>
      </c>
      <c r="BM13" s="157" t="str">
        <f t="shared" si="10"/>
        <v/>
      </c>
      <c r="BN13" s="157"/>
      <c r="BO13" s="157">
        <f t="shared" si="11"/>
        <v>0</v>
      </c>
      <c r="BP13" s="157">
        <f t="shared" si="12"/>
        <v>0</v>
      </c>
      <c r="BQ13" s="157">
        <f t="shared" si="13"/>
        <v>0</v>
      </c>
      <c r="BR13" s="157">
        <f t="shared" si="14"/>
        <v>0</v>
      </c>
      <c r="BS13" s="157">
        <f t="shared" si="15"/>
        <v>0</v>
      </c>
      <c r="BT13" s="157"/>
      <c r="BU13" s="206"/>
      <c r="BW13" s="204"/>
      <c r="BX13" s="227"/>
      <c r="BY13" s="204"/>
      <c r="BZ13" s="204"/>
      <c r="CA13" s="204"/>
    </row>
    <row r="14" ht="57.75" customHeight="1" spans="1:79">
      <c r="A14" s="23">
        <f>SUBTOTAL(3,C$7:C14)</f>
        <v>4</v>
      </c>
      <c r="B14" s="55" t="s">
        <v>579</v>
      </c>
      <c r="C14" s="23" t="s">
        <v>562</v>
      </c>
      <c r="D14" s="634" t="s">
        <v>580</v>
      </c>
      <c r="E14" s="35" t="s">
        <v>2194</v>
      </c>
      <c r="F14" s="38">
        <v>8000</v>
      </c>
      <c r="G14" s="67">
        <v>2790</v>
      </c>
      <c r="H14" s="123" t="s">
        <v>581</v>
      </c>
      <c r="I14" s="37"/>
      <c r="J14" s="37">
        <v>1000</v>
      </c>
      <c r="K14" s="37">
        <v>2500</v>
      </c>
      <c r="L14" s="67">
        <v>3000</v>
      </c>
      <c r="M14" s="38"/>
      <c r="N14" s="36"/>
      <c r="O14" s="36"/>
      <c r="P14" s="137"/>
      <c r="Q14" s="90"/>
      <c r="R14" s="132"/>
      <c r="S14" s="132"/>
      <c r="T14" s="132"/>
      <c r="U14" s="132"/>
      <c r="V14" s="132"/>
      <c r="W14" s="132"/>
      <c r="X14" s="132"/>
      <c r="Y14" s="132"/>
      <c r="Z14" s="132"/>
      <c r="AA14" s="132"/>
      <c r="AB14" s="132"/>
      <c r="AC14" s="132"/>
      <c r="AD14" s="132"/>
      <c r="AE14" s="132"/>
      <c r="AF14" s="132"/>
      <c r="AG14" s="681">
        <v>210</v>
      </c>
      <c r="AH14" s="681">
        <v>2790</v>
      </c>
      <c r="AI14" s="90"/>
      <c r="AJ14" s="682" t="s">
        <v>2195</v>
      </c>
      <c r="AK14" s="66" t="s">
        <v>172</v>
      </c>
      <c r="AL14" s="67" t="s">
        <v>1906</v>
      </c>
      <c r="AM14" s="67" t="s">
        <v>166</v>
      </c>
      <c r="AN14" s="91"/>
      <c r="AO14" s="157"/>
      <c r="AP14" s="158" t="s">
        <v>167</v>
      </c>
      <c r="AQ14" s="158" t="s">
        <v>91</v>
      </c>
      <c r="AR14" s="158" t="str">
        <f t="shared" si="17"/>
        <v>工业保税港</v>
      </c>
      <c r="AS14" s="158" t="str">
        <f t="shared" si="4"/>
        <v>工业</v>
      </c>
      <c r="AT14" s="158"/>
      <c r="AU14" s="161"/>
      <c r="AV14" s="161"/>
      <c r="AW14" s="160"/>
      <c r="AX14" s="157"/>
      <c r="AY14" s="157"/>
      <c r="AZ14" s="157"/>
      <c r="BA14" s="157"/>
      <c r="BB14" s="157"/>
      <c r="BC14" s="157"/>
      <c r="BD14" s="157"/>
      <c r="BE14" s="157"/>
      <c r="BF14" s="157" t="s">
        <v>92</v>
      </c>
      <c r="BG14" s="203" t="s">
        <v>93</v>
      </c>
      <c r="BH14" s="201" t="str">
        <f t="shared" si="5"/>
        <v>企业钦州保税港区管委</v>
      </c>
      <c r="BI14" s="201" t="str">
        <f t="shared" si="6"/>
        <v>产业钦州保税港区管委</v>
      </c>
      <c r="BJ14" s="204">
        <f t="shared" si="7"/>
        <v>0</v>
      </c>
      <c r="BK14" s="157" t="str">
        <f t="shared" si="8"/>
        <v>工业保税港1000</v>
      </c>
      <c r="BL14" s="157" t="str">
        <f t="shared" si="9"/>
        <v>工业保税港2000</v>
      </c>
      <c r="BM14" s="157" t="str">
        <f t="shared" si="10"/>
        <v/>
      </c>
      <c r="BN14" s="157"/>
      <c r="BO14" s="157">
        <f t="shared" si="11"/>
        <v>0</v>
      </c>
      <c r="BP14" s="157">
        <f t="shared" si="12"/>
        <v>0</v>
      </c>
      <c r="BQ14" s="157">
        <f t="shared" si="13"/>
        <v>0</v>
      </c>
      <c r="BR14" s="157">
        <f t="shared" si="14"/>
        <v>0</v>
      </c>
      <c r="BS14" s="157">
        <f t="shared" si="15"/>
        <v>0</v>
      </c>
      <c r="BT14" s="157"/>
      <c r="BU14" s="206"/>
      <c r="BW14" s="204"/>
      <c r="BX14" s="227"/>
      <c r="BY14" s="204"/>
      <c r="BZ14" s="204"/>
      <c r="CA14" s="204"/>
    </row>
    <row r="15" s="9" customFormat="1" ht="30" customHeight="1" spans="1:72">
      <c r="A15" s="551"/>
      <c r="B15" s="557" t="str">
        <f>"中马园（"&amp;SUBTOTAL(3,C16:C23)&amp;"个）"</f>
        <v>中马园（8个）</v>
      </c>
      <c r="C15" s="551"/>
      <c r="D15" s="554"/>
      <c r="E15" s="551"/>
      <c r="F15" s="134">
        <f t="shared" ref="F15:M15" si="18">SUBTOTAL(9,F16:F23)</f>
        <v>772200</v>
      </c>
      <c r="G15" s="134">
        <f t="shared" si="18"/>
        <v>160200</v>
      </c>
      <c r="H15" s="134"/>
      <c r="I15" s="134">
        <f t="shared" si="18"/>
        <v>6600</v>
      </c>
      <c r="J15" s="134">
        <f t="shared" si="18"/>
        <v>21100</v>
      </c>
      <c r="K15" s="134">
        <f t="shared" si="18"/>
        <v>41100</v>
      </c>
      <c r="L15" s="134">
        <f t="shared" si="18"/>
        <v>56500</v>
      </c>
      <c r="M15" s="134">
        <f t="shared" si="18"/>
        <v>0</v>
      </c>
      <c r="N15" s="133"/>
      <c r="O15" s="134"/>
      <c r="P15" s="674"/>
      <c r="Q15" s="90"/>
      <c r="R15" s="132"/>
      <c r="S15" s="132"/>
      <c r="T15" s="132"/>
      <c r="U15" s="132"/>
      <c r="V15" s="132"/>
      <c r="W15" s="132"/>
      <c r="X15" s="132"/>
      <c r="Y15" s="132"/>
      <c r="Z15" s="132"/>
      <c r="AA15" s="132"/>
      <c r="AB15" s="132"/>
      <c r="AC15" s="132"/>
      <c r="AD15" s="132"/>
      <c r="AE15" s="132"/>
      <c r="AF15" s="132"/>
      <c r="AG15" s="132"/>
      <c r="AH15" s="132"/>
      <c r="AI15" s="90"/>
      <c r="AJ15" s="90"/>
      <c r="AK15" s="591"/>
      <c r="AL15" s="134"/>
      <c r="AM15" s="134"/>
      <c r="AN15" s="91"/>
      <c r="AO15" s="165"/>
      <c r="AP15" s="158"/>
      <c r="AQ15" s="158"/>
      <c r="AR15" s="158"/>
      <c r="AS15" s="158"/>
      <c r="AT15" s="158"/>
      <c r="AU15" s="165"/>
      <c r="AV15" s="169"/>
      <c r="AW15" s="165"/>
      <c r="AX15" s="165"/>
      <c r="AY15" s="165"/>
      <c r="AZ15" s="165"/>
      <c r="BA15" s="165"/>
      <c r="BB15" s="169"/>
      <c r="BC15" s="169"/>
      <c r="BD15" s="169"/>
      <c r="BE15" s="165"/>
      <c r="BF15" s="157"/>
      <c r="BG15" s="685"/>
      <c r="BK15" s="157"/>
      <c r="BL15" s="157"/>
      <c r="BM15" s="157"/>
      <c r="BN15" s="157"/>
      <c r="BO15" s="157"/>
      <c r="BP15" s="157"/>
      <c r="BQ15" s="157"/>
      <c r="BR15" s="157"/>
      <c r="BS15" s="157"/>
      <c r="BT15" s="181"/>
    </row>
    <row r="16" ht="60.75" customHeight="1" spans="1:79">
      <c r="A16" s="23">
        <f>SUBTOTAL(3,C$7:C16)</f>
        <v>5</v>
      </c>
      <c r="B16" s="55" t="s">
        <v>583</v>
      </c>
      <c r="C16" s="35" t="s">
        <v>562</v>
      </c>
      <c r="D16" s="60" t="s">
        <v>584</v>
      </c>
      <c r="E16" s="59" t="s">
        <v>564</v>
      </c>
      <c r="F16" s="36">
        <v>380000</v>
      </c>
      <c r="G16" s="36">
        <v>68000</v>
      </c>
      <c r="H16" s="112" t="s">
        <v>585</v>
      </c>
      <c r="I16" s="36">
        <v>600</v>
      </c>
      <c r="J16" s="36">
        <v>2000</v>
      </c>
      <c r="K16" s="36">
        <v>3400</v>
      </c>
      <c r="L16" s="36">
        <v>5000</v>
      </c>
      <c r="M16" s="36"/>
      <c r="N16" s="81"/>
      <c r="O16" s="76"/>
      <c r="P16" s="90" t="s">
        <v>2196</v>
      </c>
      <c r="Q16" s="90" t="s">
        <v>117</v>
      </c>
      <c r="R16" s="132"/>
      <c r="S16" s="132"/>
      <c r="T16" s="132"/>
      <c r="U16" s="132"/>
      <c r="V16" s="132"/>
      <c r="W16" s="132"/>
      <c r="X16" s="132"/>
      <c r="Y16" s="132"/>
      <c r="Z16" s="132"/>
      <c r="AA16" s="132"/>
      <c r="AB16" s="132"/>
      <c r="AC16" s="132"/>
      <c r="AD16" s="132">
        <v>5000</v>
      </c>
      <c r="AE16" s="132"/>
      <c r="AF16" s="132">
        <v>5000</v>
      </c>
      <c r="AG16" s="132"/>
      <c r="AH16" s="132"/>
      <c r="AI16" s="90"/>
      <c r="AJ16" s="90" t="s">
        <v>117</v>
      </c>
      <c r="AK16" s="34" t="s">
        <v>198</v>
      </c>
      <c r="AL16" s="35" t="s">
        <v>1912</v>
      </c>
      <c r="AM16" s="35" t="s">
        <v>185</v>
      </c>
      <c r="AN16" s="91"/>
      <c r="AO16" s="157"/>
      <c r="AP16" s="158" t="s">
        <v>186</v>
      </c>
      <c r="AQ16" s="158" t="s">
        <v>91</v>
      </c>
      <c r="AR16" s="158" t="str">
        <f t="shared" si="17"/>
        <v>工业中马园</v>
      </c>
      <c r="AS16" s="158" t="str">
        <f>AQ16</f>
        <v>工业</v>
      </c>
      <c r="AT16" s="158"/>
      <c r="AU16" s="161"/>
      <c r="AV16" s="161"/>
      <c r="AW16" s="160"/>
      <c r="AX16" s="157"/>
      <c r="AY16" s="157"/>
      <c r="AZ16" s="157"/>
      <c r="BA16" s="157"/>
      <c r="BB16" s="157"/>
      <c r="BC16" s="157"/>
      <c r="BD16" s="157"/>
      <c r="BE16" s="157"/>
      <c r="BF16" s="157" t="s">
        <v>92</v>
      </c>
      <c r="BG16" s="203" t="s">
        <v>93</v>
      </c>
      <c r="BH16" s="201" t="str">
        <f>BF16&amp;AM16</f>
        <v>企业中马钦州产业园区管委</v>
      </c>
      <c r="BI16" s="201" t="str">
        <f>BG16&amp;AM16</f>
        <v>产业中马钦州产业园区管委</v>
      </c>
      <c r="BJ16" s="204">
        <f t="shared" ref="BJ16:BJ18" si="19">IF(N16&gt;0,1,0)</f>
        <v>0</v>
      </c>
      <c r="BK16" s="157" t="str">
        <f t="shared" ref="BK16:BK18" si="20">IF(L16&lt;1000,"",AR16&amp;"1000")</f>
        <v>工业中马园1000</v>
      </c>
      <c r="BL16" s="157" t="str">
        <f t="shared" ref="BL16:BL18" si="21">IF(L16&lt;2000,"",AR16&amp;"2000")</f>
        <v>工业中马园2000</v>
      </c>
      <c r="BM16" s="157" t="str">
        <f t="shared" ref="BM16:BM18" si="22">IF(L16&lt;5000,"",AR16&amp;"5000")</f>
        <v>工业中马园5000</v>
      </c>
      <c r="BN16" s="157"/>
      <c r="BO16" s="157">
        <f>IF(R16&gt;0,1,0)</f>
        <v>0</v>
      </c>
      <c r="BP16" s="157">
        <f>IF(X16&gt;0,1,0)</f>
        <v>0</v>
      </c>
      <c r="BQ16" s="157">
        <f>IF(U16&gt;0,1,0)</f>
        <v>0</v>
      </c>
      <c r="BR16" s="157">
        <f>IF(AA16&gt;0,1,0)</f>
        <v>0</v>
      </c>
      <c r="BS16" s="157">
        <f>IF(AD16&gt;0,1,0)</f>
        <v>1</v>
      </c>
      <c r="BT16" s="157"/>
      <c r="BU16" s="206"/>
      <c r="BW16" s="7" t="s">
        <v>1890</v>
      </c>
      <c r="BX16" s="227"/>
      <c r="BY16" s="204"/>
      <c r="BZ16" s="204"/>
      <c r="CA16" s="204"/>
    </row>
    <row r="17" ht="79.5" customHeight="1" spans="1:79">
      <c r="A17" s="23">
        <f>SUBTOTAL(3,C$7:C17)</f>
        <v>6</v>
      </c>
      <c r="B17" s="93" t="s">
        <v>586</v>
      </c>
      <c r="C17" s="92" t="s">
        <v>562</v>
      </c>
      <c r="D17" s="93" t="s">
        <v>587</v>
      </c>
      <c r="E17" s="92" t="s">
        <v>588</v>
      </c>
      <c r="F17" s="92">
        <v>151600</v>
      </c>
      <c r="G17" s="92">
        <v>68000</v>
      </c>
      <c r="H17" s="112" t="s">
        <v>2197</v>
      </c>
      <c r="I17" s="36">
        <v>2000</v>
      </c>
      <c r="J17" s="36">
        <v>8000</v>
      </c>
      <c r="K17" s="36">
        <v>14000</v>
      </c>
      <c r="L17" s="581">
        <v>20000</v>
      </c>
      <c r="M17" s="581"/>
      <c r="N17" s="81"/>
      <c r="O17" s="76"/>
      <c r="P17" s="135" t="s">
        <v>2198</v>
      </c>
      <c r="Q17" s="135" t="s">
        <v>2199</v>
      </c>
      <c r="R17" s="134">
        <v>155</v>
      </c>
      <c r="S17" s="134">
        <v>155</v>
      </c>
      <c r="T17" s="134"/>
      <c r="U17" s="134"/>
      <c r="V17" s="134"/>
      <c r="W17" s="134"/>
      <c r="X17" s="134"/>
      <c r="Y17" s="134"/>
      <c r="Z17" s="134"/>
      <c r="AA17" s="134"/>
      <c r="AB17" s="134"/>
      <c r="AC17" s="134"/>
      <c r="AD17" s="134">
        <v>20000</v>
      </c>
      <c r="AE17" s="134"/>
      <c r="AF17" s="134"/>
      <c r="AG17" s="134"/>
      <c r="AH17" s="134">
        <v>20000</v>
      </c>
      <c r="AI17" s="90"/>
      <c r="AJ17" s="135" t="s">
        <v>590</v>
      </c>
      <c r="AK17" s="123" t="s">
        <v>591</v>
      </c>
      <c r="AL17" s="67" t="s">
        <v>2075</v>
      </c>
      <c r="AM17" s="92" t="s">
        <v>185</v>
      </c>
      <c r="AN17" s="270"/>
      <c r="AO17" s="157"/>
      <c r="AP17" s="158" t="s">
        <v>186</v>
      </c>
      <c r="AQ17" s="158" t="s">
        <v>91</v>
      </c>
      <c r="AR17" s="158" t="str">
        <f t="shared" ref="AR17:AR23" si="23">AQ17&amp;AP17</f>
        <v>工业中马园</v>
      </c>
      <c r="AS17" s="158" t="str">
        <f t="shared" ref="AS17:AS23" si="24">AQ17</f>
        <v>工业</v>
      </c>
      <c r="AT17" s="158"/>
      <c r="AU17" s="161"/>
      <c r="AV17" s="161"/>
      <c r="AW17" s="160"/>
      <c r="AX17" s="157"/>
      <c r="AY17" s="157"/>
      <c r="AZ17" s="157"/>
      <c r="BA17" s="157"/>
      <c r="BB17" s="157"/>
      <c r="BC17" s="157"/>
      <c r="BD17" s="157"/>
      <c r="BE17" s="157"/>
      <c r="BF17" s="157" t="s">
        <v>205</v>
      </c>
      <c r="BG17" s="203" t="s">
        <v>93</v>
      </c>
      <c r="BH17" s="201" t="str">
        <f t="shared" ref="BH17:BH23" si="25">BF17&amp;AM17</f>
        <v>政府中马钦州产业园区管委</v>
      </c>
      <c r="BI17" s="201" t="str">
        <f t="shared" ref="BI17:BI23" si="26">BG17&amp;AM17</f>
        <v>产业中马钦州产业园区管委</v>
      </c>
      <c r="BJ17" s="204">
        <f t="shared" si="19"/>
        <v>0</v>
      </c>
      <c r="BK17" s="157" t="str">
        <f t="shared" si="20"/>
        <v>工业中马园1000</v>
      </c>
      <c r="BL17" s="157" t="str">
        <f t="shared" si="21"/>
        <v>工业中马园2000</v>
      </c>
      <c r="BM17" s="157" t="str">
        <f t="shared" si="22"/>
        <v>工业中马园5000</v>
      </c>
      <c r="BN17" s="157"/>
      <c r="BO17" s="157">
        <f t="shared" ref="BO17:BO23" si="27">IF(R17&gt;0,1,0)</f>
        <v>1</v>
      </c>
      <c r="BP17" s="157">
        <f t="shared" ref="BP17:BP23" si="28">IF(X17&gt;0,1,0)</f>
        <v>0</v>
      </c>
      <c r="BQ17" s="157">
        <f t="shared" ref="BQ17:BQ23" si="29">IF(U17&gt;0,1,0)</f>
        <v>0</v>
      </c>
      <c r="BR17" s="157">
        <f t="shared" ref="BR17:BR23" si="30">IF(AA17&gt;0,1,0)</f>
        <v>0</v>
      </c>
      <c r="BS17" s="157">
        <f t="shared" ref="BS17:BS23" si="31">IF(AD17&gt;0,1,0)</f>
        <v>1</v>
      </c>
      <c r="BT17" s="157"/>
      <c r="BU17" s="206"/>
      <c r="BW17" s="7" t="s">
        <v>1890</v>
      </c>
      <c r="BX17" s="227"/>
      <c r="BY17" s="204"/>
      <c r="BZ17" s="204"/>
      <c r="CA17" s="204"/>
    </row>
    <row r="18" ht="68.25" customHeight="1" spans="1:79">
      <c r="A18" s="23">
        <f>SUBTOTAL(3,C$7:C18)</f>
        <v>7</v>
      </c>
      <c r="B18" s="55" t="s">
        <v>592</v>
      </c>
      <c r="C18" s="35" t="s">
        <v>562</v>
      </c>
      <c r="D18" s="60" t="s">
        <v>593</v>
      </c>
      <c r="E18" s="35" t="s">
        <v>564</v>
      </c>
      <c r="F18" s="36">
        <v>100000</v>
      </c>
      <c r="G18" s="36">
        <v>12000</v>
      </c>
      <c r="H18" s="123" t="s">
        <v>594</v>
      </c>
      <c r="I18" s="67">
        <v>1500</v>
      </c>
      <c r="J18" s="67">
        <v>3000</v>
      </c>
      <c r="K18" s="67">
        <v>4500</v>
      </c>
      <c r="L18" s="36">
        <v>6000</v>
      </c>
      <c r="M18" s="36"/>
      <c r="N18" s="67"/>
      <c r="O18" s="67"/>
      <c r="P18" s="90" t="s">
        <v>2200</v>
      </c>
      <c r="Q18" s="90" t="s">
        <v>2201</v>
      </c>
      <c r="R18" s="132"/>
      <c r="S18" s="132"/>
      <c r="T18" s="132"/>
      <c r="U18" s="132"/>
      <c r="V18" s="132"/>
      <c r="W18" s="132"/>
      <c r="X18" s="132"/>
      <c r="Y18" s="132"/>
      <c r="Z18" s="132"/>
      <c r="AA18" s="132"/>
      <c r="AB18" s="132"/>
      <c r="AC18" s="132"/>
      <c r="AD18" s="132">
        <v>6000</v>
      </c>
      <c r="AE18" s="132"/>
      <c r="AF18" s="132">
        <v>2000</v>
      </c>
      <c r="AG18" s="132"/>
      <c r="AH18" s="132">
        <v>4000</v>
      </c>
      <c r="AI18" s="90"/>
      <c r="AJ18" s="90" t="s">
        <v>595</v>
      </c>
      <c r="AK18" s="34" t="s">
        <v>596</v>
      </c>
      <c r="AL18" s="35" t="s">
        <v>2202</v>
      </c>
      <c r="AM18" s="35" t="s">
        <v>185</v>
      </c>
      <c r="AN18" s="91"/>
      <c r="AO18" s="157"/>
      <c r="AP18" s="158" t="s">
        <v>186</v>
      </c>
      <c r="AQ18" s="158" t="s">
        <v>91</v>
      </c>
      <c r="AR18" s="158" t="str">
        <f t="shared" si="23"/>
        <v>工业中马园</v>
      </c>
      <c r="AS18" s="158" t="str">
        <f t="shared" si="24"/>
        <v>工业</v>
      </c>
      <c r="AT18" s="158"/>
      <c r="AU18" s="157"/>
      <c r="AV18" s="159"/>
      <c r="AW18" s="160"/>
      <c r="AX18" s="157"/>
      <c r="AY18" s="157"/>
      <c r="AZ18" s="157"/>
      <c r="BA18" s="157"/>
      <c r="BB18" s="157"/>
      <c r="BC18" s="157"/>
      <c r="BD18" s="157"/>
      <c r="BE18" s="157"/>
      <c r="BF18" s="157" t="s">
        <v>92</v>
      </c>
      <c r="BG18" s="203" t="s">
        <v>93</v>
      </c>
      <c r="BH18" s="201" t="str">
        <f t="shared" si="25"/>
        <v>企业中马钦州产业园区管委</v>
      </c>
      <c r="BI18" s="201" t="str">
        <f t="shared" si="26"/>
        <v>产业中马钦州产业园区管委</v>
      </c>
      <c r="BJ18" s="204">
        <f t="shared" si="19"/>
        <v>0</v>
      </c>
      <c r="BK18" s="157" t="str">
        <f t="shared" si="20"/>
        <v>工业中马园1000</v>
      </c>
      <c r="BL18" s="157" t="str">
        <f t="shared" si="21"/>
        <v>工业中马园2000</v>
      </c>
      <c r="BM18" s="157" t="str">
        <f t="shared" si="22"/>
        <v>工业中马园5000</v>
      </c>
      <c r="BN18" s="157"/>
      <c r="BO18" s="157">
        <f t="shared" si="27"/>
        <v>0</v>
      </c>
      <c r="BP18" s="157">
        <f t="shared" si="28"/>
        <v>0</v>
      </c>
      <c r="BQ18" s="157">
        <f t="shared" si="29"/>
        <v>0</v>
      </c>
      <c r="BR18" s="157">
        <f t="shared" si="30"/>
        <v>0</v>
      </c>
      <c r="BS18" s="157">
        <f t="shared" si="31"/>
        <v>1</v>
      </c>
      <c r="BT18" s="181"/>
      <c r="BU18" s="206"/>
      <c r="BW18" s="7" t="s">
        <v>1890</v>
      </c>
      <c r="BX18" s="227"/>
      <c r="BY18" s="204"/>
      <c r="BZ18" s="204"/>
      <c r="CA18" s="204"/>
    </row>
    <row r="19" ht="65.25" customHeight="1" spans="1:85">
      <c r="A19" s="23">
        <f>SUBTOTAL(3,C$7:C19)</f>
        <v>8</v>
      </c>
      <c r="B19" s="55" t="s">
        <v>597</v>
      </c>
      <c r="C19" s="23" t="s">
        <v>562</v>
      </c>
      <c r="D19" s="88" t="s">
        <v>2203</v>
      </c>
      <c r="E19" s="35" t="s">
        <v>575</v>
      </c>
      <c r="F19" s="36">
        <v>78000</v>
      </c>
      <c r="G19" s="67">
        <v>1000</v>
      </c>
      <c r="H19" s="34" t="s">
        <v>2204</v>
      </c>
      <c r="I19" s="35">
        <v>200</v>
      </c>
      <c r="J19" s="35">
        <v>1800</v>
      </c>
      <c r="K19" s="35">
        <v>8400</v>
      </c>
      <c r="L19" s="36">
        <v>10000</v>
      </c>
      <c r="M19" s="36"/>
      <c r="N19" s="56"/>
      <c r="O19" s="36"/>
      <c r="P19" s="90" t="s">
        <v>2205</v>
      </c>
      <c r="Q19" s="90" t="s">
        <v>2206</v>
      </c>
      <c r="R19" s="132">
        <v>183</v>
      </c>
      <c r="S19" s="132"/>
      <c r="T19" s="132"/>
      <c r="U19" s="132"/>
      <c r="V19" s="132"/>
      <c r="W19" s="132"/>
      <c r="X19" s="132"/>
      <c r="Y19" s="132"/>
      <c r="Z19" s="132"/>
      <c r="AA19" s="132"/>
      <c r="AB19" s="132"/>
      <c r="AC19" s="132"/>
      <c r="AD19" s="132">
        <v>10000</v>
      </c>
      <c r="AE19" s="132"/>
      <c r="AF19" s="132">
        <v>10000</v>
      </c>
      <c r="AG19" s="132"/>
      <c r="AH19" s="132"/>
      <c r="AI19" s="90"/>
      <c r="AJ19" s="90" t="s">
        <v>117</v>
      </c>
      <c r="AK19" s="34" t="s">
        <v>600</v>
      </c>
      <c r="AL19" s="35" t="s">
        <v>2207</v>
      </c>
      <c r="AM19" s="35" t="s">
        <v>185</v>
      </c>
      <c r="AN19" s="270"/>
      <c r="AO19" s="158"/>
      <c r="AP19" s="158" t="s">
        <v>186</v>
      </c>
      <c r="AQ19" s="158" t="s">
        <v>91</v>
      </c>
      <c r="AR19" s="158" t="str">
        <f t="shared" si="23"/>
        <v>工业中马园</v>
      </c>
      <c r="AS19" s="158" t="str">
        <f t="shared" si="24"/>
        <v>工业</v>
      </c>
      <c r="AT19" s="160"/>
      <c r="AU19" s="157"/>
      <c r="AV19" s="157"/>
      <c r="AW19" s="157"/>
      <c r="AX19" s="157"/>
      <c r="AY19" s="157"/>
      <c r="AZ19" s="157"/>
      <c r="BA19" s="157"/>
      <c r="BB19" s="157"/>
      <c r="BC19" s="157"/>
      <c r="BF19" s="157" t="s">
        <v>92</v>
      </c>
      <c r="BG19" s="203" t="s">
        <v>93</v>
      </c>
      <c r="BH19" s="201" t="str">
        <f t="shared" si="25"/>
        <v>企业中马钦州产业园区管委</v>
      </c>
      <c r="BI19" s="201" t="str">
        <f t="shared" si="26"/>
        <v>产业中马钦州产业园区管委</v>
      </c>
      <c r="BJ19" s="157"/>
      <c r="BL19" s="4"/>
      <c r="BM19" s="4"/>
      <c r="BN19" s="4"/>
      <c r="BO19" s="157">
        <f t="shared" si="27"/>
        <v>1</v>
      </c>
      <c r="BP19" s="157">
        <f t="shared" si="28"/>
        <v>0</v>
      </c>
      <c r="BQ19" s="157">
        <f t="shared" si="29"/>
        <v>0</v>
      </c>
      <c r="BR19" s="157">
        <f t="shared" si="30"/>
        <v>0</v>
      </c>
      <c r="BS19" s="157">
        <f t="shared" si="31"/>
        <v>1</v>
      </c>
      <c r="BT19" s="4"/>
      <c r="BU19" s="4"/>
      <c r="BV19" s="4"/>
      <c r="BW19" s="4"/>
      <c r="BX19" s="4"/>
      <c r="BY19" s="4"/>
      <c r="BZ19" s="4"/>
      <c r="CA19" s="4"/>
      <c r="CB19" s="4"/>
      <c r="CC19" s="4"/>
      <c r="CD19" s="4"/>
      <c r="CE19" s="4"/>
      <c r="CF19" s="4"/>
      <c r="CG19" s="4"/>
    </row>
    <row r="20" ht="72" customHeight="1" spans="1:85">
      <c r="A20" s="23">
        <f>SUBTOTAL(3,C$7:C20)</f>
        <v>9</v>
      </c>
      <c r="B20" s="55" t="s">
        <v>602</v>
      </c>
      <c r="C20" s="23" t="s">
        <v>562</v>
      </c>
      <c r="D20" s="55" t="s">
        <v>2208</v>
      </c>
      <c r="E20" s="35" t="s">
        <v>604</v>
      </c>
      <c r="F20" s="36">
        <v>30000</v>
      </c>
      <c r="G20" s="67">
        <v>500</v>
      </c>
      <c r="H20" s="34" t="s">
        <v>605</v>
      </c>
      <c r="I20" s="35">
        <v>600</v>
      </c>
      <c r="J20" s="35">
        <v>1200</v>
      </c>
      <c r="K20" s="35">
        <v>1800</v>
      </c>
      <c r="L20" s="36">
        <v>2500</v>
      </c>
      <c r="M20" s="36"/>
      <c r="N20" s="50"/>
      <c r="O20" s="76"/>
      <c r="P20" s="90" t="s">
        <v>2209</v>
      </c>
      <c r="Q20" s="90" t="s">
        <v>117</v>
      </c>
      <c r="R20" s="132"/>
      <c r="S20" s="132"/>
      <c r="T20" s="132"/>
      <c r="U20" s="132"/>
      <c r="V20" s="132"/>
      <c r="W20" s="132"/>
      <c r="X20" s="132"/>
      <c r="Y20" s="132"/>
      <c r="Z20" s="132"/>
      <c r="AA20" s="132"/>
      <c r="AB20" s="132"/>
      <c r="AC20" s="132"/>
      <c r="AD20" s="132">
        <v>2500</v>
      </c>
      <c r="AE20" s="132"/>
      <c r="AF20" s="132">
        <v>2500</v>
      </c>
      <c r="AG20" s="132"/>
      <c r="AH20" s="132"/>
      <c r="AI20" s="90"/>
      <c r="AJ20" s="90" t="s">
        <v>117</v>
      </c>
      <c r="AK20" s="34" t="s">
        <v>606</v>
      </c>
      <c r="AL20" s="35" t="s">
        <v>2210</v>
      </c>
      <c r="AM20" s="35" t="s">
        <v>185</v>
      </c>
      <c r="AN20" s="34"/>
      <c r="AO20" s="158"/>
      <c r="AP20" s="158" t="s">
        <v>186</v>
      </c>
      <c r="AQ20" s="158" t="s">
        <v>91</v>
      </c>
      <c r="AR20" s="158" t="str">
        <f t="shared" si="23"/>
        <v>工业中马园</v>
      </c>
      <c r="AS20" s="158" t="str">
        <f t="shared" si="24"/>
        <v>工业</v>
      </c>
      <c r="AT20" s="160"/>
      <c r="AU20" s="157"/>
      <c r="AV20" s="157"/>
      <c r="AW20" s="157"/>
      <c r="AX20" s="157"/>
      <c r="AY20" s="157"/>
      <c r="AZ20" s="157"/>
      <c r="BA20" s="157"/>
      <c r="BB20" s="157"/>
      <c r="BC20" s="157"/>
      <c r="BF20" s="157" t="s">
        <v>92</v>
      </c>
      <c r="BG20" s="203" t="s">
        <v>93</v>
      </c>
      <c r="BH20" s="201" t="str">
        <f t="shared" si="25"/>
        <v>企业中马钦州产业园区管委</v>
      </c>
      <c r="BI20" s="201" t="str">
        <f t="shared" si="26"/>
        <v>产业中马钦州产业园区管委</v>
      </c>
      <c r="BJ20" s="157"/>
      <c r="BL20" s="4" t="s">
        <v>1904</v>
      </c>
      <c r="BM20" s="4"/>
      <c r="BN20" s="4"/>
      <c r="BO20" s="157">
        <f t="shared" si="27"/>
        <v>0</v>
      </c>
      <c r="BP20" s="157">
        <f t="shared" si="28"/>
        <v>0</v>
      </c>
      <c r="BQ20" s="157">
        <f t="shared" si="29"/>
        <v>0</v>
      </c>
      <c r="BR20" s="157">
        <f t="shared" si="30"/>
        <v>0</v>
      </c>
      <c r="BS20" s="157">
        <f t="shared" si="31"/>
        <v>1</v>
      </c>
      <c r="BT20" s="4"/>
      <c r="BU20" s="4"/>
      <c r="BV20" s="4"/>
      <c r="BW20" s="4"/>
      <c r="BX20" s="4"/>
      <c r="BY20" s="4"/>
      <c r="BZ20" s="4"/>
      <c r="CA20" s="4"/>
      <c r="CB20" s="4"/>
      <c r="CC20" s="4"/>
      <c r="CD20" s="4"/>
      <c r="CE20" s="4"/>
      <c r="CF20" s="4"/>
      <c r="CG20" s="4"/>
    </row>
    <row r="21" ht="72.75" customHeight="1" spans="1:85">
      <c r="A21" s="23">
        <f>SUBTOTAL(3,C$7:C21)</f>
        <v>10</v>
      </c>
      <c r="B21" s="60" t="s">
        <v>607</v>
      </c>
      <c r="C21" s="23" t="s">
        <v>562</v>
      </c>
      <c r="D21" s="88" t="s">
        <v>608</v>
      </c>
      <c r="E21" s="67" t="s">
        <v>575</v>
      </c>
      <c r="F21" s="67">
        <v>12000</v>
      </c>
      <c r="G21" s="67">
        <v>3000</v>
      </c>
      <c r="H21" s="34" t="s">
        <v>609</v>
      </c>
      <c r="I21" s="35">
        <v>500</v>
      </c>
      <c r="J21" s="35">
        <v>2000</v>
      </c>
      <c r="K21" s="35">
        <v>3500</v>
      </c>
      <c r="L21" s="36">
        <v>5000</v>
      </c>
      <c r="M21" s="36"/>
      <c r="N21" s="50"/>
      <c r="O21" s="76"/>
      <c r="P21" s="90" t="s">
        <v>2211</v>
      </c>
      <c r="Q21" s="90" t="s">
        <v>117</v>
      </c>
      <c r="R21" s="132"/>
      <c r="S21" s="132"/>
      <c r="T21" s="132"/>
      <c r="U21" s="132"/>
      <c r="V21" s="132"/>
      <c r="W21" s="132"/>
      <c r="X21" s="132"/>
      <c r="Y21" s="132"/>
      <c r="Z21" s="132"/>
      <c r="AA21" s="132"/>
      <c r="AB21" s="132"/>
      <c r="AC21" s="132"/>
      <c r="AD21" s="132">
        <v>5000</v>
      </c>
      <c r="AE21" s="132"/>
      <c r="AF21" s="132">
        <v>5000</v>
      </c>
      <c r="AG21" s="132"/>
      <c r="AH21" s="132"/>
      <c r="AI21" s="90"/>
      <c r="AJ21" s="90" t="s">
        <v>117</v>
      </c>
      <c r="AK21" s="34" t="s">
        <v>610</v>
      </c>
      <c r="AL21" s="35" t="s">
        <v>2212</v>
      </c>
      <c r="AM21" s="35" t="s">
        <v>185</v>
      </c>
      <c r="AN21" s="91"/>
      <c r="AO21" s="158"/>
      <c r="AP21" s="158" t="s">
        <v>186</v>
      </c>
      <c r="AQ21" s="158" t="s">
        <v>91</v>
      </c>
      <c r="AR21" s="158" t="str">
        <f t="shared" si="23"/>
        <v>工业中马园</v>
      </c>
      <c r="AS21" s="158" t="str">
        <f t="shared" si="24"/>
        <v>工业</v>
      </c>
      <c r="AT21" s="160"/>
      <c r="AU21" s="157"/>
      <c r="AV21" s="157"/>
      <c r="AW21" s="157"/>
      <c r="AX21" s="157"/>
      <c r="AY21" s="157"/>
      <c r="AZ21" s="157"/>
      <c r="BA21" s="157"/>
      <c r="BB21" s="157"/>
      <c r="BC21" s="157"/>
      <c r="BF21" s="157" t="s">
        <v>92</v>
      </c>
      <c r="BG21" s="203" t="s">
        <v>93</v>
      </c>
      <c r="BH21" s="201" t="str">
        <f t="shared" si="25"/>
        <v>企业中马钦州产业园区管委</v>
      </c>
      <c r="BI21" s="201" t="str">
        <f t="shared" si="26"/>
        <v>产业中马钦州产业园区管委</v>
      </c>
      <c r="BJ21" s="157"/>
      <c r="BL21" s="4"/>
      <c r="BM21" s="4"/>
      <c r="BN21" s="4"/>
      <c r="BO21" s="157">
        <f t="shared" si="27"/>
        <v>0</v>
      </c>
      <c r="BP21" s="157">
        <f t="shared" si="28"/>
        <v>0</v>
      </c>
      <c r="BQ21" s="157">
        <f t="shared" si="29"/>
        <v>0</v>
      </c>
      <c r="BR21" s="157">
        <f t="shared" si="30"/>
        <v>0</v>
      </c>
      <c r="BS21" s="157">
        <f t="shared" si="31"/>
        <v>1</v>
      </c>
      <c r="BT21" s="4"/>
      <c r="BU21" s="4"/>
      <c r="BV21" s="4"/>
      <c r="BW21" s="4"/>
      <c r="BX21" s="4"/>
      <c r="BY21" s="4"/>
      <c r="BZ21" s="4"/>
      <c r="CA21" s="4"/>
      <c r="CB21" s="4"/>
      <c r="CC21" s="4"/>
      <c r="CD21" s="4"/>
      <c r="CE21" s="4"/>
      <c r="CF21" s="4"/>
      <c r="CG21" s="4"/>
    </row>
    <row r="22" ht="53.25" customHeight="1" spans="1:79">
      <c r="A22" s="23">
        <f>SUBTOTAL(3,C$7:C22)</f>
        <v>11</v>
      </c>
      <c r="B22" s="85" t="s">
        <v>611</v>
      </c>
      <c r="C22" s="35" t="s">
        <v>562</v>
      </c>
      <c r="D22" s="85" t="s">
        <v>612</v>
      </c>
      <c r="E22" s="35" t="s">
        <v>564</v>
      </c>
      <c r="F22" s="36">
        <v>10000</v>
      </c>
      <c r="G22" s="36">
        <v>4000</v>
      </c>
      <c r="H22" s="123" t="s">
        <v>613</v>
      </c>
      <c r="I22" s="67">
        <v>200</v>
      </c>
      <c r="J22" s="67">
        <v>1100</v>
      </c>
      <c r="K22" s="67">
        <v>2000</v>
      </c>
      <c r="L22" s="36">
        <v>3000</v>
      </c>
      <c r="M22" s="36"/>
      <c r="N22" s="81"/>
      <c r="O22" s="76"/>
      <c r="P22" s="90" t="s">
        <v>2213</v>
      </c>
      <c r="Q22" s="90" t="s">
        <v>117</v>
      </c>
      <c r="R22" s="132"/>
      <c r="S22" s="132"/>
      <c r="T22" s="132"/>
      <c r="U22" s="132"/>
      <c r="V22" s="132"/>
      <c r="W22" s="132"/>
      <c r="X22" s="132"/>
      <c r="Y22" s="132"/>
      <c r="Z22" s="132"/>
      <c r="AA22" s="132"/>
      <c r="AB22" s="132"/>
      <c r="AC22" s="132"/>
      <c r="AD22" s="132"/>
      <c r="AE22" s="132"/>
      <c r="AF22" s="132"/>
      <c r="AG22" s="132"/>
      <c r="AH22" s="132"/>
      <c r="AI22" s="90"/>
      <c r="AJ22" s="90" t="s">
        <v>117</v>
      </c>
      <c r="AK22" s="84" t="s">
        <v>614</v>
      </c>
      <c r="AL22" s="35" t="s">
        <v>2214</v>
      </c>
      <c r="AM22" s="35" t="s">
        <v>185</v>
      </c>
      <c r="AN22" s="270" t="s">
        <v>615</v>
      </c>
      <c r="AO22" s="157"/>
      <c r="AP22" s="158" t="s">
        <v>186</v>
      </c>
      <c r="AQ22" s="158" t="s">
        <v>91</v>
      </c>
      <c r="AR22" s="158" t="str">
        <f t="shared" si="23"/>
        <v>工业中马园</v>
      </c>
      <c r="AS22" s="158" t="str">
        <f t="shared" si="24"/>
        <v>工业</v>
      </c>
      <c r="AT22" s="158"/>
      <c r="AU22" s="161"/>
      <c r="AV22" s="161"/>
      <c r="AW22" s="160"/>
      <c r="AX22" s="157"/>
      <c r="AY22" s="157"/>
      <c r="AZ22" s="157"/>
      <c r="BA22" s="157"/>
      <c r="BB22" s="157"/>
      <c r="BC22" s="157"/>
      <c r="BD22" s="157"/>
      <c r="BE22" s="157"/>
      <c r="BF22" s="157" t="s">
        <v>92</v>
      </c>
      <c r="BG22" s="203" t="s">
        <v>93</v>
      </c>
      <c r="BH22" s="201" t="str">
        <f t="shared" si="25"/>
        <v>企业中马钦州产业园区管委</v>
      </c>
      <c r="BI22" s="201" t="str">
        <f t="shared" si="26"/>
        <v>产业中马钦州产业园区管委</v>
      </c>
      <c r="BJ22" s="204">
        <f t="shared" ref="BJ22:BJ25" si="32">IF(N22&gt;0,1,0)</f>
        <v>0</v>
      </c>
      <c r="BK22" s="157" t="str">
        <f t="shared" ref="BK22:BK25" si="33">IF(L22&lt;1000,"",AR22&amp;"1000")</f>
        <v>工业中马园1000</v>
      </c>
      <c r="BL22" s="157" t="str">
        <f t="shared" ref="BL22:BL25" si="34">IF(L22&lt;2000,"",AR22&amp;"2000")</f>
        <v>工业中马园2000</v>
      </c>
      <c r="BM22" s="157" t="str">
        <f t="shared" ref="BM22:BM25" si="35">IF(L22&lt;5000,"",AR22&amp;"5000")</f>
        <v/>
      </c>
      <c r="BN22" s="157"/>
      <c r="BO22" s="157">
        <f t="shared" si="27"/>
        <v>0</v>
      </c>
      <c r="BP22" s="157">
        <f t="shared" si="28"/>
        <v>0</v>
      </c>
      <c r="BQ22" s="157">
        <f t="shared" si="29"/>
        <v>0</v>
      </c>
      <c r="BR22" s="157">
        <f t="shared" si="30"/>
        <v>0</v>
      </c>
      <c r="BS22" s="157">
        <f t="shared" si="31"/>
        <v>0</v>
      </c>
      <c r="BT22" s="157"/>
      <c r="BU22" s="206"/>
      <c r="BW22" s="204"/>
      <c r="BX22" s="227"/>
      <c r="BY22" s="204"/>
      <c r="BZ22" s="204"/>
      <c r="CA22" s="204"/>
    </row>
    <row r="23" ht="98.25" customHeight="1" spans="1:79">
      <c r="A23" s="23">
        <f>SUBTOTAL(3,C$7:C23)</f>
        <v>12</v>
      </c>
      <c r="B23" s="60" t="s">
        <v>616</v>
      </c>
      <c r="C23" s="23" t="s">
        <v>562</v>
      </c>
      <c r="D23" s="88" t="s">
        <v>617</v>
      </c>
      <c r="E23" s="35" t="s">
        <v>588</v>
      </c>
      <c r="F23" s="67">
        <v>10600</v>
      </c>
      <c r="G23" s="67">
        <v>3700</v>
      </c>
      <c r="H23" s="123" t="s">
        <v>618</v>
      </c>
      <c r="I23" s="67">
        <v>1000</v>
      </c>
      <c r="J23" s="67">
        <v>2000</v>
      </c>
      <c r="K23" s="67">
        <v>3500</v>
      </c>
      <c r="L23" s="67">
        <v>5000</v>
      </c>
      <c r="M23" s="67"/>
      <c r="N23" s="111"/>
      <c r="O23" s="67"/>
      <c r="P23" s="674" t="s">
        <v>2215</v>
      </c>
      <c r="Q23" s="90" t="s">
        <v>117</v>
      </c>
      <c r="R23" s="132"/>
      <c r="S23" s="132"/>
      <c r="T23" s="132"/>
      <c r="U23" s="132"/>
      <c r="V23" s="132"/>
      <c r="W23" s="132"/>
      <c r="X23" s="132"/>
      <c r="Y23" s="132"/>
      <c r="Z23" s="132"/>
      <c r="AA23" s="132"/>
      <c r="AB23" s="132"/>
      <c r="AC23" s="132"/>
      <c r="AD23" s="132"/>
      <c r="AE23" s="132"/>
      <c r="AF23" s="132"/>
      <c r="AG23" s="132"/>
      <c r="AH23" s="132"/>
      <c r="AI23" s="90"/>
      <c r="AJ23" s="90" t="s">
        <v>117</v>
      </c>
      <c r="AK23" s="123" t="s">
        <v>619</v>
      </c>
      <c r="AL23" s="67" t="s">
        <v>2216</v>
      </c>
      <c r="AM23" s="35" t="s">
        <v>185</v>
      </c>
      <c r="AN23" s="34" t="s">
        <v>620</v>
      </c>
      <c r="AO23" s="157"/>
      <c r="AP23" s="158" t="s">
        <v>186</v>
      </c>
      <c r="AQ23" s="158" t="s">
        <v>91</v>
      </c>
      <c r="AR23" s="158" t="str">
        <f t="shared" si="23"/>
        <v>工业中马园</v>
      </c>
      <c r="AS23" s="158" t="str">
        <f t="shared" si="24"/>
        <v>工业</v>
      </c>
      <c r="AT23" s="158"/>
      <c r="AU23" s="161"/>
      <c r="AV23" s="161"/>
      <c r="AW23" s="160"/>
      <c r="AX23" s="157"/>
      <c r="AY23" s="157"/>
      <c r="AZ23" s="157"/>
      <c r="BA23" s="157"/>
      <c r="BB23" s="157"/>
      <c r="BC23" s="157"/>
      <c r="BD23" s="157"/>
      <c r="BE23" s="157"/>
      <c r="BF23" s="157" t="s">
        <v>92</v>
      </c>
      <c r="BG23" s="203" t="s">
        <v>93</v>
      </c>
      <c r="BH23" s="201" t="str">
        <f t="shared" si="25"/>
        <v>企业中马钦州产业园区管委</v>
      </c>
      <c r="BI23" s="201" t="str">
        <f t="shared" si="26"/>
        <v>产业中马钦州产业园区管委</v>
      </c>
      <c r="BJ23" s="204">
        <f t="shared" si="32"/>
        <v>0</v>
      </c>
      <c r="BK23" s="157" t="str">
        <f t="shared" si="33"/>
        <v>工业中马园1000</v>
      </c>
      <c r="BL23" s="157" t="str">
        <f t="shared" si="34"/>
        <v>工业中马园2000</v>
      </c>
      <c r="BM23" s="157" t="str">
        <f t="shared" si="35"/>
        <v>工业中马园5000</v>
      </c>
      <c r="BN23" s="157"/>
      <c r="BO23" s="157">
        <f t="shared" si="27"/>
        <v>0</v>
      </c>
      <c r="BP23" s="157">
        <f t="shared" si="28"/>
        <v>0</v>
      </c>
      <c r="BQ23" s="157">
        <f t="shared" si="29"/>
        <v>0</v>
      </c>
      <c r="BR23" s="157">
        <f t="shared" si="30"/>
        <v>0</v>
      </c>
      <c r="BS23" s="157">
        <f t="shared" si="31"/>
        <v>0</v>
      </c>
      <c r="BT23" s="230"/>
      <c r="BU23" s="206"/>
      <c r="BW23" s="204"/>
      <c r="BX23" s="227"/>
      <c r="BY23" s="204"/>
      <c r="BZ23" s="204"/>
      <c r="CA23" s="204"/>
    </row>
    <row r="24" s="9" customFormat="1" ht="24.75" customHeight="1" spans="1:72">
      <c r="A24" s="551"/>
      <c r="B24" s="557" t="str">
        <f>"高新区（"&amp;SUBTOTAL(3,C25:C26)&amp;"个）"</f>
        <v>高新区（2个）</v>
      </c>
      <c r="C24" s="551"/>
      <c r="D24" s="554"/>
      <c r="E24" s="551"/>
      <c r="F24" s="134">
        <f t="shared" ref="F24:M24" si="36">SUBTOTAL(9,F25:F26)</f>
        <v>49000</v>
      </c>
      <c r="G24" s="134">
        <f t="shared" si="36"/>
        <v>7343</v>
      </c>
      <c r="H24" s="134"/>
      <c r="I24" s="134">
        <f t="shared" si="36"/>
        <v>600</v>
      </c>
      <c r="J24" s="134">
        <f t="shared" si="36"/>
        <v>2400</v>
      </c>
      <c r="K24" s="134">
        <f t="shared" si="36"/>
        <v>4300</v>
      </c>
      <c r="L24" s="134">
        <f t="shared" si="36"/>
        <v>6000</v>
      </c>
      <c r="M24" s="134">
        <f t="shared" si="36"/>
        <v>0</v>
      </c>
      <c r="N24" s="134"/>
      <c r="O24" s="134"/>
      <c r="P24" s="674"/>
      <c r="Q24" s="90"/>
      <c r="R24" s="132"/>
      <c r="S24" s="132"/>
      <c r="T24" s="132"/>
      <c r="U24" s="132"/>
      <c r="V24" s="132"/>
      <c r="W24" s="132"/>
      <c r="X24" s="132"/>
      <c r="Y24" s="132"/>
      <c r="Z24" s="132"/>
      <c r="AA24" s="132"/>
      <c r="AB24" s="132"/>
      <c r="AC24" s="132"/>
      <c r="AD24" s="132"/>
      <c r="AE24" s="132"/>
      <c r="AF24" s="132"/>
      <c r="AG24" s="132"/>
      <c r="AH24" s="132"/>
      <c r="AI24" s="90"/>
      <c r="AJ24" s="90"/>
      <c r="AK24" s="591"/>
      <c r="AL24" s="134"/>
      <c r="AM24" s="134"/>
      <c r="AN24" s="91"/>
      <c r="AO24" s="165"/>
      <c r="AP24" s="158"/>
      <c r="AQ24" s="158"/>
      <c r="AR24" s="158"/>
      <c r="AS24" s="158"/>
      <c r="AT24" s="158"/>
      <c r="AU24" s="165"/>
      <c r="AV24" s="169"/>
      <c r="AW24" s="165"/>
      <c r="AX24" s="165"/>
      <c r="AY24" s="165"/>
      <c r="AZ24" s="165"/>
      <c r="BA24" s="165"/>
      <c r="BB24" s="169"/>
      <c r="BC24" s="169"/>
      <c r="BD24" s="169"/>
      <c r="BE24" s="165"/>
      <c r="BF24" s="157"/>
      <c r="BG24" s="685"/>
      <c r="BK24" s="157"/>
      <c r="BL24" s="157"/>
      <c r="BM24" s="157"/>
      <c r="BN24" s="157"/>
      <c r="BO24" s="157"/>
      <c r="BP24" s="157"/>
      <c r="BQ24" s="157"/>
      <c r="BR24" s="157"/>
      <c r="BS24" s="157"/>
      <c r="BT24" s="181"/>
    </row>
    <row r="25" ht="67.5" customHeight="1" spans="1:79">
      <c r="A25" s="23">
        <f>SUBTOTAL(3,C$7:C25)</f>
        <v>13</v>
      </c>
      <c r="B25" s="55" t="s">
        <v>621</v>
      </c>
      <c r="C25" s="67" t="s">
        <v>562</v>
      </c>
      <c r="D25" s="60" t="s">
        <v>622</v>
      </c>
      <c r="E25" s="35" t="s">
        <v>575</v>
      </c>
      <c r="F25" s="35">
        <v>29000</v>
      </c>
      <c r="G25" s="67">
        <v>1000</v>
      </c>
      <c r="H25" s="112" t="s">
        <v>623</v>
      </c>
      <c r="I25" s="36">
        <v>500</v>
      </c>
      <c r="J25" s="36">
        <v>2000</v>
      </c>
      <c r="K25" s="36">
        <v>3500</v>
      </c>
      <c r="L25" s="67">
        <v>5000</v>
      </c>
      <c r="M25" s="67"/>
      <c r="N25" s="50"/>
      <c r="O25" s="76"/>
      <c r="P25" s="90" t="s">
        <v>2217</v>
      </c>
      <c r="Q25" s="90" t="s">
        <v>117</v>
      </c>
      <c r="R25" s="132">
        <v>68</v>
      </c>
      <c r="S25" s="132">
        <v>68</v>
      </c>
      <c r="T25" s="132"/>
      <c r="U25" s="132"/>
      <c r="V25" s="132"/>
      <c r="W25" s="132"/>
      <c r="X25" s="132"/>
      <c r="Y25" s="132"/>
      <c r="Z25" s="132"/>
      <c r="AA25" s="132"/>
      <c r="AB25" s="132"/>
      <c r="AC25" s="132"/>
      <c r="AD25" s="132">
        <v>2000</v>
      </c>
      <c r="AE25" s="132"/>
      <c r="AF25" s="132">
        <v>800</v>
      </c>
      <c r="AG25" s="132"/>
      <c r="AH25" s="132">
        <v>1200</v>
      </c>
      <c r="AI25" s="90"/>
      <c r="AJ25" s="90" t="s">
        <v>117</v>
      </c>
      <c r="AK25" s="34" t="s">
        <v>624</v>
      </c>
      <c r="AL25" s="35" t="s">
        <v>2218</v>
      </c>
      <c r="AM25" s="35" t="s">
        <v>240</v>
      </c>
      <c r="AN25" s="91"/>
      <c r="AO25" s="157"/>
      <c r="AP25" s="158" t="s">
        <v>241</v>
      </c>
      <c r="AQ25" s="158" t="s">
        <v>91</v>
      </c>
      <c r="AR25" s="158" t="str">
        <f t="shared" ref="AR25:AR28" si="37">AQ25&amp;AP25</f>
        <v>工业高新区</v>
      </c>
      <c r="AS25" s="158" t="str">
        <f t="shared" ref="AS25:AS28" si="38">AQ25</f>
        <v>工业</v>
      </c>
      <c r="AT25" s="158"/>
      <c r="AU25" s="161"/>
      <c r="AV25" s="161"/>
      <c r="AW25" s="160"/>
      <c r="AX25" s="157"/>
      <c r="AY25" s="157"/>
      <c r="AZ25" s="157"/>
      <c r="BA25" s="157"/>
      <c r="BB25" s="157"/>
      <c r="BC25" s="157"/>
      <c r="BD25" s="157"/>
      <c r="BE25" s="157"/>
      <c r="BF25" s="157" t="s">
        <v>92</v>
      </c>
      <c r="BG25" s="203" t="s">
        <v>93</v>
      </c>
      <c r="BH25" s="201" t="str">
        <f t="shared" ref="BH25:BH28" si="39">BF25&amp;AM25</f>
        <v>企业钦州高新区管委</v>
      </c>
      <c r="BI25" s="201" t="str">
        <f t="shared" ref="BI25:BI28" si="40">BG25&amp;AM25</f>
        <v>产业钦州高新区管委</v>
      </c>
      <c r="BJ25" s="204">
        <f t="shared" si="32"/>
        <v>0</v>
      </c>
      <c r="BK25" s="157" t="str">
        <f t="shared" si="33"/>
        <v>工业高新区1000</v>
      </c>
      <c r="BL25" s="157" t="str">
        <f t="shared" si="34"/>
        <v>工业高新区2000</v>
      </c>
      <c r="BM25" s="157" t="str">
        <f t="shared" si="35"/>
        <v>工业高新区5000</v>
      </c>
      <c r="BN25" s="157"/>
      <c r="BO25" s="157">
        <f t="shared" ref="BO25:BO28" si="41">IF(R25&gt;0,1,0)</f>
        <v>1</v>
      </c>
      <c r="BP25" s="157">
        <f t="shared" ref="BP25:BP28" si="42">IF(X25&gt;0,1,0)</f>
        <v>0</v>
      </c>
      <c r="BQ25" s="157">
        <f t="shared" ref="BQ25:BQ28" si="43">IF(U25&gt;0,1,0)</f>
        <v>0</v>
      </c>
      <c r="BR25" s="157">
        <f t="shared" ref="BR25:BR28" si="44">IF(AA25&gt;0,1,0)</f>
        <v>0</v>
      </c>
      <c r="BS25" s="157">
        <f t="shared" ref="BS25:BS28" si="45">IF(AD25&gt;0,1,0)</f>
        <v>1</v>
      </c>
      <c r="BT25" s="157"/>
      <c r="BU25" s="206"/>
      <c r="BW25" s="7"/>
      <c r="BX25" s="7"/>
      <c r="BY25" s="7"/>
      <c r="BZ25" s="7"/>
      <c r="CA25" s="7"/>
    </row>
    <row r="26" s="9" customFormat="1" ht="141.75" customHeight="1" spans="1:72">
      <c r="A26" s="23">
        <f>SUBTOTAL(3,C$7:C26)</f>
        <v>14</v>
      </c>
      <c r="B26" s="55" t="s">
        <v>625</v>
      </c>
      <c r="C26" s="67" t="s">
        <v>562</v>
      </c>
      <c r="D26" s="60" t="s">
        <v>626</v>
      </c>
      <c r="E26" s="35" t="s">
        <v>627</v>
      </c>
      <c r="F26" s="35">
        <v>20000</v>
      </c>
      <c r="G26" s="67">
        <v>6343</v>
      </c>
      <c r="H26" s="112" t="s">
        <v>623</v>
      </c>
      <c r="I26" s="36">
        <v>100</v>
      </c>
      <c r="J26" s="36">
        <v>400</v>
      </c>
      <c r="K26" s="36">
        <v>800</v>
      </c>
      <c r="L26" s="67">
        <v>1000</v>
      </c>
      <c r="M26" s="67"/>
      <c r="N26" s="134"/>
      <c r="O26" s="134"/>
      <c r="P26" s="90" t="s">
        <v>2219</v>
      </c>
      <c r="Q26" s="90" t="s">
        <v>117</v>
      </c>
      <c r="R26" s="132">
        <v>265</v>
      </c>
      <c r="S26" s="132">
        <v>265</v>
      </c>
      <c r="T26" s="132"/>
      <c r="U26" s="132"/>
      <c r="V26" s="132"/>
      <c r="W26" s="132"/>
      <c r="X26" s="132"/>
      <c r="Y26" s="132"/>
      <c r="Z26" s="132"/>
      <c r="AA26" s="132"/>
      <c r="AB26" s="132"/>
      <c r="AC26" s="132"/>
      <c r="AD26" s="132">
        <v>1000</v>
      </c>
      <c r="AE26" s="132"/>
      <c r="AF26" s="132">
        <v>1000</v>
      </c>
      <c r="AG26" s="132"/>
      <c r="AH26" s="132"/>
      <c r="AI26" s="90"/>
      <c r="AJ26" s="90" t="s">
        <v>628</v>
      </c>
      <c r="AK26" s="34" t="s">
        <v>629</v>
      </c>
      <c r="AL26" s="35" t="s">
        <v>2220</v>
      </c>
      <c r="AM26" s="35" t="s">
        <v>240</v>
      </c>
      <c r="AN26" s="91"/>
      <c r="AO26" s="165"/>
      <c r="AP26" s="158" t="s">
        <v>241</v>
      </c>
      <c r="AQ26" s="158" t="s">
        <v>91</v>
      </c>
      <c r="AR26" s="158" t="str">
        <f t="shared" si="37"/>
        <v>工业高新区</v>
      </c>
      <c r="AS26" s="158" t="str">
        <f t="shared" si="38"/>
        <v>工业</v>
      </c>
      <c r="AT26" s="158"/>
      <c r="AU26" s="165"/>
      <c r="AV26" s="169"/>
      <c r="AW26" s="165"/>
      <c r="AX26" s="165"/>
      <c r="AY26" s="165"/>
      <c r="AZ26" s="165"/>
      <c r="BA26" s="165"/>
      <c r="BB26" s="169"/>
      <c r="BC26" s="169"/>
      <c r="BD26" s="169"/>
      <c r="BE26" s="165"/>
      <c r="BF26" s="157" t="s">
        <v>92</v>
      </c>
      <c r="BG26" s="203" t="s">
        <v>93</v>
      </c>
      <c r="BH26" s="201" t="str">
        <f t="shared" si="39"/>
        <v>企业钦州高新区管委</v>
      </c>
      <c r="BI26" s="201" t="str">
        <f t="shared" si="40"/>
        <v>产业钦州高新区管委</v>
      </c>
      <c r="BK26" s="157"/>
      <c r="BL26" s="157"/>
      <c r="BM26" s="157"/>
      <c r="BN26" s="157"/>
      <c r="BO26" s="157">
        <f t="shared" si="41"/>
        <v>1</v>
      </c>
      <c r="BP26" s="157">
        <f t="shared" si="42"/>
        <v>0</v>
      </c>
      <c r="BQ26" s="157">
        <f t="shared" si="43"/>
        <v>0</v>
      </c>
      <c r="BR26" s="157">
        <f t="shared" si="44"/>
        <v>0</v>
      </c>
      <c r="BS26" s="157">
        <f t="shared" si="45"/>
        <v>1</v>
      </c>
      <c r="BT26" s="181"/>
    </row>
    <row r="27" s="9" customFormat="1" ht="36.75" customHeight="1" spans="1:72">
      <c r="A27" s="551"/>
      <c r="B27" s="557" t="str">
        <f>"北部湾华侨投资区（"&amp;SUBTOTAL(3,C28:C28)&amp;"个）"</f>
        <v>北部湾华侨投资区（1个）</v>
      </c>
      <c r="C27" s="551"/>
      <c r="D27" s="554"/>
      <c r="E27" s="551"/>
      <c r="F27" s="134">
        <f t="shared" ref="F27:M27" si="46">SUBTOTAL(9,F28:F28)</f>
        <v>40000</v>
      </c>
      <c r="G27" s="134">
        <f t="shared" si="46"/>
        <v>8016</v>
      </c>
      <c r="H27" s="134"/>
      <c r="I27" s="134">
        <f t="shared" si="46"/>
        <v>1500</v>
      </c>
      <c r="J27" s="134">
        <f t="shared" si="46"/>
        <v>4500</v>
      </c>
      <c r="K27" s="134">
        <f t="shared" si="46"/>
        <v>8000</v>
      </c>
      <c r="L27" s="134">
        <f t="shared" si="46"/>
        <v>10000</v>
      </c>
      <c r="M27" s="134">
        <f t="shared" si="46"/>
        <v>0</v>
      </c>
      <c r="N27" s="134"/>
      <c r="O27" s="134"/>
      <c r="P27" s="674"/>
      <c r="Q27" s="90"/>
      <c r="R27" s="132"/>
      <c r="S27" s="132"/>
      <c r="T27" s="132"/>
      <c r="U27" s="132"/>
      <c r="V27" s="132"/>
      <c r="W27" s="132"/>
      <c r="X27" s="132"/>
      <c r="Y27" s="132"/>
      <c r="Z27" s="132"/>
      <c r="AA27" s="132"/>
      <c r="AB27" s="132"/>
      <c r="AC27" s="132"/>
      <c r="AD27" s="132"/>
      <c r="AE27" s="132"/>
      <c r="AF27" s="132"/>
      <c r="AG27" s="132"/>
      <c r="AH27" s="132"/>
      <c r="AI27" s="90"/>
      <c r="AJ27" s="90"/>
      <c r="AK27" s="591"/>
      <c r="AL27" s="134"/>
      <c r="AM27" s="134"/>
      <c r="AN27" s="91"/>
      <c r="AO27" s="165"/>
      <c r="AP27" s="158"/>
      <c r="AQ27" s="158"/>
      <c r="AR27" s="158"/>
      <c r="AS27" s="158"/>
      <c r="AT27" s="158"/>
      <c r="AU27" s="165"/>
      <c r="AV27" s="169"/>
      <c r="AW27" s="165"/>
      <c r="AX27" s="165"/>
      <c r="AY27" s="165"/>
      <c r="AZ27" s="165"/>
      <c r="BA27" s="165"/>
      <c r="BB27" s="169"/>
      <c r="BC27" s="169"/>
      <c r="BD27" s="169"/>
      <c r="BE27" s="165"/>
      <c r="BF27" s="157"/>
      <c r="BG27" s="685"/>
      <c r="BK27" s="157"/>
      <c r="BL27" s="157"/>
      <c r="BM27" s="157"/>
      <c r="BN27" s="157"/>
      <c r="BO27" s="157"/>
      <c r="BP27" s="157"/>
      <c r="BQ27" s="157"/>
      <c r="BR27" s="157"/>
      <c r="BS27" s="157"/>
      <c r="BT27" s="181"/>
    </row>
    <row r="28" ht="83.65" customHeight="1" spans="1:76">
      <c r="A28" s="23">
        <f>SUBTOTAL(3,C$7:C28)</f>
        <v>15</v>
      </c>
      <c r="B28" s="55" t="s">
        <v>630</v>
      </c>
      <c r="C28" s="35" t="s">
        <v>562</v>
      </c>
      <c r="D28" s="88" t="s">
        <v>631</v>
      </c>
      <c r="E28" s="35" t="s">
        <v>632</v>
      </c>
      <c r="F28" s="38">
        <v>40000</v>
      </c>
      <c r="G28" s="38">
        <v>8016</v>
      </c>
      <c r="H28" s="123" t="s">
        <v>633</v>
      </c>
      <c r="I28" s="38">
        <v>1500</v>
      </c>
      <c r="J28" s="38">
        <v>4500</v>
      </c>
      <c r="K28" s="38">
        <v>8000</v>
      </c>
      <c r="L28" s="38">
        <v>10000</v>
      </c>
      <c r="M28" s="38"/>
      <c r="N28" s="111"/>
      <c r="O28" s="67"/>
      <c r="P28" s="90" t="s">
        <v>2221</v>
      </c>
      <c r="Q28" s="90" t="s">
        <v>2222</v>
      </c>
      <c r="R28" s="132">
        <v>200</v>
      </c>
      <c r="S28" s="132">
        <v>100</v>
      </c>
      <c r="T28" s="132">
        <v>100</v>
      </c>
      <c r="U28" s="132"/>
      <c r="V28" s="132"/>
      <c r="W28" s="132"/>
      <c r="X28" s="132"/>
      <c r="Y28" s="132"/>
      <c r="Z28" s="132"/>
      <c r="AA28" s="132">
        <v>100</v>
      </c>
      <c r="AB28" s="132"/>
      <c r="AC28" s="132"/>
      <c r="AD28" s="132">
        <v>10000</v>
      </c>
      <c r="AE28" s="132"/>
      <c r="AF28" s="132">
        <v>2300</v>
      </c>
      <c r="AG28" s="132"/>
      <c r="AH28" s="132">
        <v>7700</v>
      </c>
      <c r="AI28" s="90"/>
      <c r="AJ28" s="90" t="s">
        <v>117</v>
      </c>
      <c r="AK28" s="595" t="s">
        <v>634</v>
      </c>
      <c r="AL28" s="76" t="s">
        <v>2223</v>
      </c>
      <c r="AM28" s="81" t="s">
        <v>504</v>
      </c>
      <c r="AN28" s="91"/>
      <c r="AO28" s="157"/>
      <c r="AP28" s="158" t="s">
        <v>505</v>
      </c>
      <c r="AQ28" s="158" t="s">
        <v>91</v>
      </c>
      <c r="AR28" s="158" t="str">
        <f t="shared" si="37"/>
        <v>工业华侨投资区</v>
      </c>
      <c r="AS28" s="158" t="str">
        <f t="shared" si="38"/>
        <v>工业</v>
      </c>
      <c r="AT28" s="158"/>
      <c r="AU28" s="157"/>
      <c r="AV28" s="272"/>
      <c r="AW28" s="160"/>
      <c r="AX28" s="157"/>
      <c r="AY28" s="157"/>
      <c r="AZ28" s="157"/>
      <c r="BA28" s="157"/>
      <c r="BB28" s="157"/>
      <c r="BC28" s="157"/>
      <c r="BD28" s="157"/>
      <c r="BE28" s="157"/>
      <c r="BF28" s="201" t="s">
        <v>92</v>
      </c>
      <c r="BG28" s="203" t="s">
        <v>93</v>
      </c>
      <c r="BH28" s="201" t="str">
        <f t="shared" si="39"/>
        <v>企业北部湾华侨投资区管委</v>
      </c>
      <c r="BI28" s="201" t="str">
        <f t="shared" si="40"/>
        <v>产业北部湾华侨投资区管委</v>
      </c>
      <c r="BJ28" s="204">
        <f t="shared" ref="BJ28:BJ32" si="47">IF(N28&gt;0,1,0)</f>
        <v>0</v>
      </c>
      <c r="BK28" s="157" t="str">
        <f t="shared" ref="BK28:BK32" si="48">IF(L28&lt;1000,"",AR28&amp;"1000")</f>
        <v>工业华侨投资区1000</v>
      </c>
      <c r="BL28" s="157" t="str">
        <f t="shared" ref="BL28:BL32" si="49">IF(L28&lt;2000,"",AR28&amp;"2000")</f>
        <v>工业华侨投资区2000</v>
      </c>
      <c r="BM28" s="157" t="str">
        <f t="shared" ref="BM28:BM32" si="50">IF(L28&lt;5000,"",AR28&amp;"5000")</f>
        <v>工业华侨投资区5000</v>
      </c>
      <c r="BN28" s="157"/>
      <c r="BO28" s="157">
        <f t="shared" si="41"/>
        <v>1</v>
      </c>
      <c r="BP28" s="157">
        <f t="shared" si="42"/>
        <v>0</v>
      </c>
      <c r="BQ28" s="157">
        <f t="shared" si="43"/>
        <v>0</v>
      </c>
      <c r="BR28" s="157">
        <f t="shared" si="44"/>
        <v>1</v>
      </c>
      <c r="BS28" s="157">
        <f t="shared" si="45"/>
        <v>1</v>
      </c>
      <c r="BT28" s="181"/>
      <c r="BU28" s="206"/>
      <c r="BX28" s="206"/>
    </row>
    <row r="29" s="9" customFormat="1" ht="30" customHeight="1" spans="1:72">
      <c r="A29" s="551"/>
      <c r="B29" s="557" t="str">
        <f>"钦南区（"&amp;SUBTOTAL(3,C30:C32)&amp;"个）"</f>
        <v>钦南区（3个）</v>
      </c>
      <c r="C29" s="551"/>
      <c r="D29" s="554"/>
      <c r="E29" s="551"/>
      <c r="F29" s="134">
        <f t="shared" ref="F29:M29" si="51">SUBTOTAL(9,F30:F32)</f>
        <v>63200</v>
      </c>
      <c r="G29" s="134">
        <f t="shared" si="51"/>
        <v>26427</v>
      </c>
      <c r="H29" s="134"/>
      <c r="I29" s="134">
        <f t="shared" si="51"/>
        <v>2750</v>
      </c>
      <c r="J29" s="134">
        <f t="shared" si="51"/>
        <v>7100</v>
      </c>
      <c r="K29" s="134">
        <f t="shared" si="51"/>
        <v>12000</v>
      </c>
      <c r="L29" s="134">
        <f t="shared" si="51"/>
        <v>15000</v>
      </c>
      <c r="M29" s="134">
        <f t="shared" si="51"/>
        <v>0</v>
      </c>
      <c r="N29" s="134"/>
      <c r="O29" s="134"/>
      <c r="P29" s="674"/>
      <c r="Q29" s="90"/>
      <c r="R29" s="132"/>
      <c r="S29" s="132"/>
      <c r="T29" s="132"/>
      <c r="U29" s="132"/>
      <c r="V29" s="132"/>
      <c r="W29" s="132"/>
      <c r="X29" s="132"/>
      <c r="Y29" s="132"/>
      <c r="Z29" s="132"/>
      <c r="AA29" s="132"/>
      <c r="AB29" s="132"/>
      <c r="AC29" s="132"/>
      <c r="AD29" s="132"/>
      <c r="AE29" s="132"/>
      <c r="AF29" s="132"/>
      <c r="AG29" s="132"/>
      <c r="AH29" s="132"/>
      <c r="AI29" s="90"/>
      <c r="AJ29" s="90"/>
      <c r="AK29" s="591"/>
      <c r="AL29" s="134"/>
      <c r="AM29" s="134"/>
      <c r="AN29" s="91"/>
      <c r="AO29" s="165"/>
      <c r="AP29" s="158"/>
      <c r="AQ29" s="158"/>
      <c r="AR29" s="158"/>
      <c r="AS29" s="158"/>
      <c r="AT29" s="158"/>
      <c r="AU29" s="165"/>
      <c r="AV29" s="169"/>
      <c r="AW29" s="165"/>
      <c r="AX29" s="165"/>
      <c r="AY29" s="165"/>
      <c r="AZ29" s="165"/>
      <c r="BA29" s="165"/>
      <c r="BB29" s="169"/>
      <c r="BC29" s="169"/>
      <c r="BD29" s="169"/>
      <c r="BE29" s="165"/>
      <c r="BF29" s="157"/>
      <c r="BG29" s="685"/>
      <c r="BK29" s="157"/>
      <c r="BL29" s="157"/>
      <c r="BM29" s="157"/>
      <c r="BN29" s="157"/>
      <c r="BO29" s="157"/>
      <c r="BP29" s="157"/>
      <c r="BQ29" s="157"/>
      <c r="BR29" s="157"/>
      <c r="BS29" s="157"/>
      <c r="BT29" s="181"/>
    </row>
    <row r="30" ht="60" customHeight="1" spans="1:73">
      <c r="A30" s="23">
        <f>SUBTOTAL(3,C$7:C30)</f>
        <v>16</v>
      </c>
      <c r="B30" s="233" t="s">
        <v>659</v>
      </c>
      <c r="C30" s="87" t="s">
        <v>562</v>
      </c>
      <c r="D30" s="233" t="s">
        <v>660</v>
      </c>
      <c r="E30" s="87" t="s">
        <v>661</v>
      </c>
      <c r="F30" s="234">
        <v>30000</v>
      </c>
      <c r="G30" s="234">
        <v>4860</v>
      </c>
      <c r="H30" s="123" t="s">
        <v>2224</v>
      </c>
      <c r="I30" s="581">
        <v>1000</v>
      </c>
      <c r="J30" s="581">
        <v>2600</v>
      </c>
      <c r="K30" s="581">
        <v>3700</v>
      </c>
      <c r="L30" s="234">
        <v>5000</v>
      </c>
      <c r="M30" s="234"/>
      <c r="N30" s="111"/>
      <c r="O30" s="67"/>
      <c r="P30" s="259" t="s">
        <v>2225</v>
      </c>
      <c r="Q30" s="259" t="s">
        <v>365</v>
      </c>
      <c r="R30" s="253">
        <v>200.31</v>
      </c>
      <c r="S30" s="253">
        <v>192</v>
      </c>
      <c r="T30" s="253">
        <v>8</v>
      </c>
      <c r="U30" s="253">
        <v>153.36</v>
      </c>
      <c r="V30" s="253">
        <v>153.36</v>
      </c>
      <c r="W30" s="253"/>
      <c r="X30" s="253"/>
      <c r="Y30" s="253"/>
      <c r="Z30" s="253"/>
      <c r="AA30" s="253"/>
      <c r="AB30" s="253"/>
      <c r="AC30" s="253"/>
      <c r="AD30" s="253">
        <v>2000</v>
      </c>
      <c r="AE30" s="253"/>
      <c r="AF30" s="253">
        <v>2000</v>
      </c>
      <c r="AG30" s="253"/>
      <c r="AH30" s="253"/>
      <c r="AI30" s="90"/>
      <c r="AJ30" s="259" t="s">
        <v>663</v>
      </c>
      <c r="AK30" s="86" t="s">
        <v>664</v>
      </c>
      <c r="AL30" s="87" t="s">
        <v>2226</v>
      </c>
      <c r="AM30" s="35" t="s">
        <v>359</v>
      </c>
      <c r="AN30" s="91"/>
      <c r="AO30" s="157"/>
      <c r="AP30" s="158" t="s">
        <v>360</v>
      </c>
      <c r="AQ30" s="158" t="s">
        <v>91</v>
      </c>
      <c r="AR30" s="158" t="str">
        <f t="shared" ref="AR30:AR32" si="52">AQ30&amp;AP30</f>
        <v>工业钦南区</v>
      </c>
      <c r="AS30" s="158" t="str">
        <f t="shared" ref="AS30:AS32" si="53">AQ30</f>
        <v>工业</v>
      </c>
      <c r="AT30" s="158"/>
      <c r="AU30" s="161"/>
      <c r="AV30" s="161"/>
      <c r="AW30" s="160"/>
      <c r="AX30" s="157"/>
      <c r="AY30" s="157"/>
      <c r="AZ30" s="157"/>
      <c r="BA30" s="157"/>
      <c r="BB30" s="157"/>
      <c r="BC30" s="157"/>
      <c r="BD30" s="157"/>
      <c r="BE30" s="157"/>
      <c r="BF30" s="157" t="s">
        <v>92</v>
      </c>
      <c r="BG30" s="203" t="s">
        <v>93</v>
      </c>
      <c r="BH30" s="201" t="str">
        <f t="shared" ref="BH30:BH32" si="54">BF30&amp;AM30</f>
        <v>企业钦南区人民政府</v>
      </c>
      <c r="BI30" s="201" t="str">
        <f t="shared" ref="BI30:BI32" si="55">BG30&amp;AM30</f>
        <v>产业钦南区人民政府</v>
      </c>
      <c r="BJ30" s="204">
        <f t="shared" si="47"/>
        <v>0</v>
      </c>
      <c r="BK30" s="157" t="str">
        <f t="shared" si="48"/>
        <v>工业钦南区1000</v>
      </c>
      <c r="BL30" s="157" t="str">
        <f t="shared" si="49"/>
        <v>工业钦南区2000</v>
      </c>
      <c r="BM30" s="157" t="str">
        <f t="shared" si="50"/>
        <v>工业钦南区5000</v>
      </c>
      <c r="BN30" s="157"/>
      <c r="BO30" s="157">
        <f t="shared" ref="BO30:BO32" si="56">IF(R30&gt;0,1,0)</f>
        <v>1</v>
      </c>
      <c r="BP30" s="157">
        <f t="shared" ref="BP30:BP32" si="57">IF(X30&gt;0,1,0)</f>
        <v>0</v>
      </c>
      <c r="BQ30" s="157">
        <f t="shared" ref="BQ30:BQ32" si="58">IF(U30&gt;0,1,0)</f>
        <v>1</v>
      </c>
      <c r="BR30" s="157">
        <f t="shared" ref="BR30:BR32" si="59">IF(AA30&gt;0,1,0)</f>
        <v>0</v>
      </c>
      <c r="BS30" s="157">
        <f t="shared" ref="BS30:BS32" si="60">IF(AD30&gt;0,1,0)</f>
        <v>1</v>
      </c>
      <c r="BT30" s="181"/>
      <c r="BU30" s="206"/>
    </row>
    <row r="31" ht="57" customHeight="1" spans="1:76">
      <c r="A31" s="23">
        <f>SUBTOTAL(3,C$7:C31)</f>
        <v>17</v>
      </c>
      <c r="B31" s="233" t="s">
        <v>665</v>
      </c>
      <c r="C31" s="87" t="s">
        <v>562</v>
      </c>
      <c r="D31" s="233" t="s">
        <v>666</v>
      </c>
      <c r="E31" s="87" t="s">
        <v>575</v>
      </c>
      <c r="F31" s="234">
        <v>23000</v>
      </c>
      <c r="G31" s="234">
        <v>13783</v>
      </c>
      <c r="H31" s="123" t="s">
        <v>667</v>
      </c>
      <c r="I31" s="581">
        <v>1500</v>
      </c>
      <c r="J31" s="581">
        <v>3500</v>
      </c>
      <c r="K31" s="581">
        <v>6700</v>
      </c>
      <c r="L31" s="234">
        <v>8000</v>
      </c>
      <c r="M31" s="234"/>
      <c r="N31" s="56"/>
      <c r="O31" s="127"/>
      <c r="P31" s="259" t="s">
        <v>2227</v>
      </c>
      <c r="Q31" s="259" t="s">
        <v>365</v>
      </c>
      <c r="R31" s="253">
        <v>25</v>
      </c>
      <c r="S31" s="253">
        <v>25</v>
      </c>
      <c r="T31" s="253"/>
      <c r="U31" s="253"/>
      <c r="V31" s="253"/>
      <c r="W31" s="253"/>
      <c r="X31" s="253"/>
      <c r="Y31" s="253"/>
      <c r="Z31" s="253"/>
      <c r="AA31" s="253"/>
      <c r="AB31" s="253"/>
      <c r="AC31" s="253"/>
      <c r="AD31" s="253">
        <v>8000</v>
      </c>
      <c r="AE31" s="253"/>
      <c r="AF31" s="253">
        <v>3000</v>
      </c>
      <c r="AG31" s="253"/>
      <c r="AH31" s="253">
        <v>5000</v>
      </c>
      <c r="AI31" s="90"/>
      <c r="AJ31" s="259" t="s">
        <v>663</v>
      </c>
      <c r="AK31" s="86" t="s">
        <v>668</v>
      </c>
      <c r="AL31" s="87" t="s">
        <v>2228</v>
      </c>
      <c r="AM31" s="35" t="s">
        <v>359</v>
      </c>
      <c r="AN31" s="91"/>
      <c r="AO31" s="157"/>
      <c r="AP31" s="158" t="s">
        <v>360</v>
      </c>
      <c r="AQ31" s="158" t="s">
        <v>91</v>
      </c>
      <c r="AR31" s="158" t="str">
        <f t="shared" si="52"/>
        <v>工业钦南区</v>
      </c>
      <c r="AS31" s="158" t="str">
        <f t="shared" si="53"/>
        <v>工业</v>
      </c>
      <c r="AT31" s="158"/>
      <c r="AU31" s="161"/>
      <c r="AV31" s="161"/>
      <c r="AW31" s="160"/>
      <c r="AX31" s="157"/>
      <c r="AY31" s="157"/>
      <c r="AZ31" s="157"/>
      <c r="BA31" s="157"/>
      <c r="BB31" s="157"/>
      <c r="BC31" s="157"/>
      <c r="BD31" s="157"/>
      <c r="BE31" s="157"/>
      <c r="BF31" s="157" t="s">
        <v>92</v>
      </c>
      <c r="BG31" s="203" t="s">
        <v>93</v>
      </c>
      <c r="BH31" s="201" t="str">
        <f t="shared" si="54"/>
        <v>企业钦南区人民政府</v>
      </c>
      <c r="BI31" s="201" t="str">
        <f t="shared" si="55"/>
        <v>产业钦南区人民政府</v>
      </c>
      <c r="BJ31" s="204">
        <f t="shared" si="47"/>
        <v>0</v>
      </c>
      <c r="BK31" s="157" t="str">
        <f t="shared" si="48"/>
        <v>工业钦南区1000</v>
      </c>
      <c r="BL31" s="157" t="str">
        <f t="shared" si="49"/>
        <v>工业钦南区2000</v>
      </c>
      <c r="BM31" s="157" t="str">
        <f t="shared" si="50"/>
        <v>工业钦南区5000</v>
      </c>
      <c r="BN31" s="157"/>
      <c r="BO31" s="157">
        <f t="shared" si="56"/>
        <v>1</v>
      </c>
      <c r="BP31" s="157">
        <f t="shared" si="57"/>
        <v>0</v>
      </c>
      <c r="BQ31" s="157">
        <f t="shared" si="58"/>
        <v>0</v>
      </c>
      <c r="BR31" s="157">
        <f t="shared" si="59"/>
        <v>0</v>
      </c>
      <c r="BS31" s="157">
        <f t="shared" si="60"/>
        <v>1</v>
      </c>
      <c r="BT31" s="181"/>
      <c r="BU31" s="206"/>
      <c r="BX31" s="206"/>
    </row>
    <row r="32" ht="72" customHeight="1" spans="1:76">
      <c r="A32" s="23">
        <f>SUBTOTAL(3,C$7:C32)</f>
        <v>18</v>
      </c>
      <c r="B32" s="233" t="s">
        <v>669</v>
      </c>
      <c r="C32" s="87" t="s">
        <v>562</v>
      </c>
      <c r="D32" s="233" t="s">
        <v>670</v>
      </c>
      <c r="E32" s="87" t="s">
        <v>575</v>
      </c>
      <c r="F32" s="234">
        <v>10200</v>
      </c>
      <c r="G32" s="234">
        <v>7784</v>
      </c>
      <c r="H32" s="123" t="s">
        <v>2229</v>
      </c>
      <c r="I32" s="67">
        <v>250</v>
      </c>
      <c r="J32" s="67">
        <v>1000</v>
      </c>
      <c r="K32" s="67">
        <v>1600</v>
      </c>
      <c r="L32" s="234">
        <v>2000</v>
      </c>
      <c r="M32" s="234"/>
      <c r="N32" s="56"/>
      <c r="O32" s="127"/>
      <c r="P32" s="259" t="s">
        <v>2230</v>
      </c>
      <c r="Q32" s="260" t="s">
        <v>2231</v>
      </c>
      <c r="R32" s="253">
        <v>44.736</v>
      </c>
      <c r="S32" s="253">
        <v>44.736</v>
      </c>
      <c r="T32" s="253"/>
      <c r="U32" s="253"/>
      <c r="V32" s="253"/>
      <c r="W32" s="253"/>
      <c r="X32" s="253"/>
      <c r="Y32" s="253"/>
      <c r="Z32" s="253"/>
      <c r="AA32" s="253"/>
      <c r="AB32" s="253"/>
      <c r="AC32" s="253"/>
      <c r="AD32" s="253">
        <v>2000</v>
      </c>
      <c r="AE32" s="253"/>
      <c r="AF32" s="253">
        <v>2000</v>
      </c>
      <c r="AG32" s="253"/>
      <c r="AH32" s="253"/>
      <c r="AI32" s="90"/>
      <c r="AJ32" s="259" t="s">
        <v>672</v>
      </c>
      <c r="AK32" s="683" t="s">
        <v>673</v>
      </c>
      <c r="AL32" s="684" t="s">
        <v>2232</v>
      </c>
      <c r="AM32" s="35" t="s">
        <v>359</v>
      </c>
      <c r="AN32" s="91"/>
      <c r="AO32" s="157"/>
      <c r="AP32" s="158" t="s">
        <v>360</v>
      </c>
      <c r="AQ32" s="158" t="s">
        <v>91</v>
      </c>
      <c r="AR32" s="158" t="str">
        <f t="shared" si="52"/>
        <v>工业钦南区</v>
      </c>
      <c r="AS32" s="158" t="str">
        <f t="shared" si="53"/>
        <v>工业</v>
      </c>
      <c r="AT32" s="158"/>
      <c r="AU32" s="161"/>
      <c r="AV32" s="161"/>
      <c r="AW32" s="160"/>
      <c r="AX32" s="157"/>
      <c r="AY32" s="157"/>
      <c r="AZ32" s="157"/>
      <c r="BA32" s="157"/>
      <c r="BB32" s="157"/>
      <c r="BC32" s="157"/>
      <c r="BD32" s="157"/>
      <c r="BE32" s="157"/>
      <c r="BF32" s="157" t="s">
        <v>92</v>
      </c>
      <c r="BG32" s="203" t="s">
        <v>93</v>
      </c>
      <c r="BH32" s="201" t="str">
        <f t="shared" si="54"/>
        <v>企业钦南区人民政府</v>
      </c>
      <c r="BI32" s="201" t="str">
        <f t="shared" si="55"/>
        <v>产业钦南区人民政府</v>
      </c>
      <c r="BJ32" s="204">
        <f t="shared" si="47"/>
        <v>0</v>
      </c>
      <c r="BK32" s="157" t="str">
        <f t="shared" si="48"/>
        <v>工业钦南区1000</v>
      </c>
      <c r="BL32" s="157" t="str">
        <f t="shared" si="49"/>
        <v>工业钦南区2000</v>
      </c>
      <c r="BM32" s="157" t="str">
        <f t="shared" si="50"/>
        <v/>
      </c>
      <c r="BN32" s="157"/>
      <c r="BO32" s="157">
        <f t="shared" si="56"/>
        <v>1</v>
      </c>
      <c r="BP32" s="157">
        <f t="shared" si="57"/>
        <v>0</v>
      </c>
      <c r="BQ32" s="157">
        <f t="shared" si="58"/>
        <v>0</v>
      </c>
      <c r="BR32" s="157">
        <f t="shared" si="59"/>
        <v>0</v>
      </c>
      <c r="BS32" s="157">
        <f t="shared" si="60"/>
        <v>1</v>
      </c>
      <c r="BT32" s="181"/>
      <c r="BU32" s="206"/>
      <c r="BX32" s="206"/>
    </row>
    <row r="33" s="9" customFormat="1" ht="30" customHeight="1" spans="1:72">
      <c r="A33" s="551"/>
      <c r="B33" s="557" t="str">
        <f>"钦北区（"&amp;SUBTOTAL(3,C34:C38)&amp;"个）"</f>
        <v>钦北区（5个）</v>
      </c>
      <c r="C33" s="551"/>
      <c r="D33" s="554"/>
      <c r="E33" s="551"/>
      <c r="F33" s="134">
        <f t="shared" ref="F33:M33" si="61">SUBTOTAL(9,F34:F38)</f>
        <v>208115</v>
      </c>
      <c r="G33" s="134">
        <f t="shared" si="61"/>
        <v>18453</v>
      </c>
      <c r="H33" s="134"/>
      <c r="I33" s="134">
        <f t="shared" si="61"/>
        <v>4550</v>
      </c>
      <c r="J33" s="134">
        <f t="shared" si="61"/>
        <v>9000</v>
      </c>
      <c r="K33" s="134">
        <f t="shared" si="61"/>
        <v>15900</v>
      </c>
      <c r="L33" s="134">
        <f t="shared" si="61"/>
        <v>28000</v>
      </c>
      <c r="M33" s="134">
        <f t="shared" si="61"/>
        <v>50000</v>
      </c>
      <c r="N33" s="134"/>
      <c r="O33" s="134"/>
      <c r="P33" s="674"/>
      <c r="Q33" s="90"/>
      <c r="R33" s="132"/>
      <c r="S33" s="132"/>
      <c r="T33" s="132"/>
      <c r="U33" s="132"/>
      <c r="V33" s="132"/>
      <c r="W33" s="132"/>
      <c r="X33" s="132"/>
      <c r="Y33" s="132"/>
      <c r="Z33" s="132"/>
      <c r="AA33" s="132"/>
      <c r="AB33" s="132"/>
      <c r="AC33" s="132"/>
      <c r="AD33" s="132"/>
      <c r="AE33" s="132"/>
      <c r="AF33" s="132"/>
      <c r="AG33" s="132"/>
      <c r="AH33" s="132"/>
      <c r="AI33" s="90"/>
      <c r="AJ33" s="90"/>
      <c r="AK33" s="591"/>
      <c r="AL33" s="134"/>
      <c r="AM33" s="134"/>
      <c r="AN33" s="91"/>
      <c r="AO33" s="165"/>
      <c r="AP33" s="158"/>
      <c r="AQ33" s="158"/>
      <c r="AR33" s="158"/>
      <c r="AS33" s="158"/>
      <c r="AT33" s="158"/>
      <c r="AU33" s="165"/>
      <c r="AV33" s="169"/>
      <c r="AW33" s="165"/>
      <c r="AX33" s="165"/>
      <c r="AY33" s="165"/>
      <c r="AZ33" s="165"/>
      <c r="BA33" s="165"/>
      <c r="BB33" s="169"/>
      <c r="BC33" s="169"/>
      <c r="BD33" s="169"/>
      <c r="BE33" s="165"/>
      <c r="BF33" s="157"/>
      <c r="BG33" s="685"/>
      <c r="BK33" s="157"/>
      <c r="BL33" s="157"/>
      <c r="BM33" s="157"/>
      <c r="BN33" s="157"/>
      <c r="BO33" s="157"/>
      <c r="BP33" s="157"/>
      <c r="BQ33" s="157"/>
      <c r="BR33" s="157"/>
      <c r="BS33" s="157"/>
      <c r="BT33" s="181"/>
    </row>
    <row r="34" ht="75" customHeight="1" spans="1:75">
      <c r="A34" s="23">
        <f>SUBTOTAL(3,C$7:C34)</f>
        <v>19</v>
      </c>
      <c r="B34" s="665" t="s">
        <v>674</v>
      </c>
      <c r="C34" s="35" t="s">
        <v>562</v>
      </c>
      <c r="D34" s="88" t="s">
        <v>675</v>
      </c>
      <c r="E34" s="23" t="s">
        <v>632</v>
      </c>
      <c r="F34" s="67">
        <v>115000</v>
      </c>
      <c r="G34" s="36">
        <v>1000</v>
      </c>
      <c r="H34" s="112" t="s">
        <v>2233</v>
      </c>
      <c r="I34" s="36">
        <v>1500</v>
      </c>
      <c r="J34" s="36">
        <v>3500</v>
      </c>
      <c r="K34" s="36">
        <v>6000</v>
      </c>
      <c r="L34" s="36">
        <v>8000</v>
      </c>
      <c r="M34" s="36"/>
      <c r="N34" s="111"/>
      <c r="O34" s="67"/>
      <c r="P34" s="90" t="s">
        <v>2234</v>
      </c>
      <c r="Q34" s="90" t="s">
        <v>117</v>
      </c>
      <c r="R34" s="132">
        <v>400</v>
      </c>
      <c r="S34" s="132">
        <v>400</v>
      </c>
      <c r="T34" s="132"/>
      <c r="U34" s="132"/>
      <c r="V34" s="132"/>
      <c r="W34" s="132"/>
      <c r="X34" s="132"/>
      <c r="Y34" s="132"/>
      <c r="Z34" s="132"/>
      <c r="AA34" s="132"/>
      <c r="AB34" s="132"/>
      <c r="AC34" s="132"/>
      <c r="AD34" s="132"/>
      <c r="AE34" s="132"/>
      <c r="AF34" s="132"/>
      <c r="AG34" s="132"/>
      <c r="AH34" s="132"/>
      <c r="AI34" s="90"/>
      <c r="AJ34" s="90" t="s">
        <v>117</v>
      </c>
      <c r="AK34" s="123" t="s">
        <v>677</v>
      </c>
      <c r="AL34" s="67" t="s">
        <v>2235</v>
      </c>
      <c r="AM34" s="35" t="s">
        <v>375</v>
      </c>
      <c r="AN34" s="91"/>
      <c r="AO34" s="157"/>
      <c r="AP34" s="158" t="s">
        <v>376</v>
      </c>
      <c r="AQ34" s="158" t="s">
        <v>91</v>
      </c>
      <c r="AR34" s="158" t="str">
        <f t="shared" ref="AR34:AR38" si="62">AQ34&amp;AP34</f>
        <v>工业钦北区</v>
      </c>
      <c r="AS34" s="158" t="str">
        <f t="shared" ref="AS34:AS38" si="63">AQ34</f>
        <v>工业</v>
      </c>
      <c r="AT34" s="158"/>
      <c r="AU34" s="157"/>
      <c r="AV34" s="159"/>
      <c r="AW34" s="160"/>
      <c r="AX34" s="157"/>
      <c r="AY34" s="157"/>
      <c r="AZ34" s="157"/>
      <c r="BA34" s="157"/>
      <c r="BB34" s="157"/>
      <c r="BC34" s="157"/>
      <c r="BD34" s="157"/>
      <c r="BE34" s="157"/>
      <c r="BF34" s="157" t="s">
        <v>92</v>
      </c>
      <c r="BG34" s="203" t="s">
        <v>93</v>
      </c>
      <c r="BH34" s="201" t="str">
        <f t="shared" ref="BH34:BH38" si="64">BF34&amp;AM34</f>
        <v>企业钦北区人民政府</v>
      </c>
      <c r="BI34" s="201" t="str">
        <f t="shared" ref="BI34:BI38" si="65">BG34&amp;AM34</f>
        <v>产业钦北区人民政府</v>
      </c>
      <c r="BJ34" s="204">
        <f t="shared" ref="BJ34:BJ38" si="66">IF(N34&gt;0,1,0)</f>
        <v>0</v>
      </c>
      <c r="BK34" s="157" t="str">
        <f t="shared" ref="BK34:BK38" si="67">IF(L34&lt;1000,"",AR34&amp;"1000")</f>
        <v>工业钦北区1000</v>
      </c>
      <c r="BL34" s="157" t="str">
        <f t="shared" ref="BL34:BL38" si="68">IF(L34&lt;2000,"",AR34&amp;"2000")</f>
        <v>工业钦北区2000</v>
      </c>
      <c r="BM34" s="157" t="str">
        <f t="shared" ref="BM34:BM38" si="69">IF(L34&lt;5000,"",AR34&amp;"5000")</f>
        <v>工业钦北区5000</v>
      </c>
      <c r="BN34" s="157"/>
      <c r="BO34" s="157">
        <f t="shared" ref="BO34:BO38" si="70">IF(R34&gt;0,1,0)</f>
        <v>1</v>
      </c>
      <c r="BP34" s="157">
        <f t="shared" ref="BP34:BP38" si="71">IF(X34&gt;0,1,0)</f>
        <v>0</v>
      </c>
      <c r="BQ34" s="157">
        <f t="shared" ref="BQ34:BQ38" si="72">IF(U34&gt;0,1,0)</f>
        <v>0</v>
      </c>
      <c r="BR34" s="157">
        <f t="shared" ref="BR34:BR38" si="73">IF(AA34&gt;0,1,0)</f>
        <v>0</v>
      </c>
      <c r="BS34" s="157">
        <f t="shared" ref="BS34:BS38" si="74">IF(AD34&gt;0,1,0)</f>
        <v>0</v>
      </c>
      <c r="BT34" s="181"/>
      <c r="BU34" s="206"/>
      <c r="BW34" s="7" t="s">
        <v>1890</v>
      </c>
    </row>
    <row r="35" ht="48" customHeight="1" spans="1:73">
      <c r="A35" s="23">
        <f>SUBTOTAL(3,C$7:C35)</f>
        <v>20</v>
      </c>
      <c r="B35" s="55" t="s">
        <v>678</v>
      </c>
      <c r="C35" s="35" t="s">
        <v>562</v>
      </c>
      <c r="D35" s="55" t="s">
        <v>679</v>
      </c>
      <c r="E35" s="35" t="s">
        <v>564</v>
      </c>
      <c r="F35" s="36">
        <v>30000</v>
      </c>
      <c r="G35" s="36">
        <v>13353</v>
      </c>
      <c r="H35" s="112" t="s">
        <v>2236</v>
      </c>
      <c r="I35" s="36">
        <v>1000</v>
      </c>
      <c r="J35" s="36">
        <v>2500</v>
      </c>
      <c r="K35" s="36">
        <v>4000</v>
      </c>
      <c r="L35" s="36">
        <v>7000</v>
      </c>
      <c r="M35" s="36"/>
      <c r="N35" s="111"/>
      <c r="O35" s="67"/>
      <c r="P35" s="90" t="s">
        <v>2237</v>
      </c>
      <c r="Q35" s="90" t="s">
        <v>117</v>
      </c>
      <c r="R35" s="132">
        <v>100</v>
      </c>
      <c r="S35" s="132">
        <v>100</v>
      </c>
      <c r="T35" s="132"/>
      <c r="U35" s="132"/>
      <c r="V35" s="132"/>
      <c r="W35" s="132"/>
      <c r="X35" s="132"/>
      <c r="Y35" s="132"/>
      <c r="Z35" s="132"/>
      <c r="AA35" s="132"/>
      <c r="AB35" s="132"/>
      <c r="AC35" s="132"/>
      <c r="AD35" s="132"/>
      <c r="AE35" s="132"/>
      <c r="AF35" s="132"/>
      <c r="AG35" s="132"/>
      <c r="AH35" s="132"/>
      <c r="AI35" s="90"/>
      <c r="AJ35" s="90" t="s">
        <v>117</v>
      </c>
      <c r="AK35" s="34" t="s">
        <v>681</v>
      </c>
      <c r="AL35" s="35" t="s">
        <v>2238</v>
      </c>
      <c r="AM35" s="35" t="s">
        <v>375</v>
      </c>
      <c r="AN35" s="91"/>
      <c r="AO35" s="157"/>
      <c r="AP35" s="158" t="s">
        <v>376</v>
      </c>
      <c r="AQ35" s="158" t="s">
        <v>91</v>
      </c>
      <c r="AR35" s="158" t="str">
        <f t="shared" si="62"/>
        <v>工业钦北区</v>
      </c>
      <c r="AS35" s="158" t="str">
        <f t="shared" si="63"/>
        <v>工业</v>
      </c>
      <c r="AT35" s="158"/>
      <c r="AU35" s="157"/>
      <c r="AV35" s="159"/>
      <c r="AW35" s="160"/>
      <c r="AX35" s="157"/>
      <c r="AY35" s="157"/>
      <c r="AZ35" s="157"/>
      <c r="BA35" s="157"/>
      <c r="BB35" s="157"/>
      <c r="BC35" s="157"/>
      <c r="BD35" s="157"/>
      <c r="BE35" s="157"/>
      <c r="BF35" s="157" t="s">
        <v>92</v>
      </c>
      <c r="BG35" s="203" t="s">
        <v>93</v>
      </c>
      <c r="BH35" s="201" t="str">
        <f t="shared" si="64"/>
        <v>企业钦北区人民政府</v>
      </c>
      <c r="BI35" s="201" t="str">
        <f t="shared" si="65"/>
        <v>产业钦北区人民政府</v>
      </c>
      <c r="BJ35" s="204">
        <f t="shared" si="66"/>
        <v>0</v>
      </c>
      <c r="BK35" s="157" t="str">
        <f t="shared" si="67"/>
        <v>工业钦北区1000</v>
      </c>
      <c r="BL35" s="157" t="str">
        <f t="shared" si="68"/>
        <v>工业钦北区2000</v>
      </c>
      <c r="BM35" s="157" t="str">
        <f t="shared" si="69"/>
        <v>工业钦北区5000</v>
      </c>
      <c r="BN35" s="157"/>
      <c r="BO35" s="157">
        <f t="shared" si="70"/>
        <v>1</v>
      </c>
      <c r="BP35" s="157">
        <f t="shared" si="71"/>
        <v>0</v>
      </c>
      <c r="BQ35" s="157">
        <f t="shared" si="72"/>
        <v>0</v>
      </c>
      <c r="BR35" s="157">
        <f t="shared" si="73"/>
        <v>0</v>
      </c>
      <c r="BS35" s="157">
        <f t="shared" si="74"/>
        <v>0</v>
      </c>
      <c r="BT35" s="181"/>
      <c r="BU35" s="206"/>
    </row>
    <row r="36" ht="64.9" customHeight="1" spans="1:73">
      <c r="A36" s="23">
        <f>SUBTOTAL(3,C$7:C36)</f>
        <v>21</v>
      </c>
      <c r="B36" s="55" t="s">
        <v>2239</v>
      </c>
      <c r="C36" s="35" t="s">
        <v>562</v>
      </c>
      <c r="D36" s="55" t="s">
        <v>2240</v>
      </c>
      <c r="E36" s="35" t="s">
        <v>604</v>
      </c>
      <c r="F36" s="36">
        <v>30000</v>
      </c>
      <c r="G36" s="36">
        <v>300</v>
      </c>
      <c r="H36" s="112" t="s">
        <v>2233</v>
      </c>
      <c r="I36" s="36">
        <v>1500</v>
      </c>
      <c r="J36" s="36">
        <v>1500</v>
      </c>
      <c r="K36" s="36">
        <v>3000</v>
      </c>
      <c r="L36" s="36">
        <v>8000</v>
      </c>
      <c r="M36" s="36">
        <v>50000</v>
      </c>
      <c r="N36" s="111"/>
      <c r="O36" s="67"/>
      <c r="P36" s="90" t="s">
        <v>2241</v>
      </c>
      <c r="Q36" s="90" t="s">
        <v>2242</v>
      </c>
      <c r="R36" s="132">
        <v>50</v>
      </c>
      <c r="S36" s="132">
        <v>0</v>
      </c>
      <c r="T36" s="132">
        <v>50</v>
      </c>
      <c r="U36" s="132"/>
      <c r="V36" s="132"/>
      <c r="W36" s="132"/>
      <c r="X36" s="132"/>
      <c r="Y36" s="132"/>
      <c r="Z36" s="132"/>
      <c r="AA36" s="132"/>
      <c r="AB36" s="132"/>
      <c r="AC36" s="132"/>
      <c r="AD36" s="132"/>
      <c r="AE36" s="132"/>
      <c r="AF36" s="132"/>
      <c r="AG36" s="132"/>
      <c r="AH36" s="132"/>
      <c r="AI36" s="90"/>
      <c r="AJ36" s="90" t="s">
        <v>117</v>
      </c>
      <c r="AK36" s="34" t="s">
        <v>684</v>
      </c>
      <c r="AL36" s="35" t="s">
        <v>2243</v>
      </c>
      <c r="AM36" s="35" t="s">
        <v>375</v>
      </c>
      <c r="AN36" s="91"/>
      <c r="AO36" s="157"/>
      <c r="AP36" s="158" t="s">
        <v>376</v>
      </c>
      <c r="AQ36" s="158" t="s">
        <v>91</v>
      </c>
      <c r="AR36" s="158" t="str">
        <f t="shared" si="62"/>
        <v>工业钦北区</v>
      </c>
      <c r="AS36" s="158" t="str">
        <f t="shared" si="63"/>
        <v>工业</v>
      </c>
      <c r="AT36" s="158"/>
      <c r="AU36" s="161"/>
      <c r="AV36" s="161"/>
      <c r="AW36" s="160"/>
      <c r="AX36" s="157"/>
      <c r="AY36" s="157"/>
      <c r="AZ36" s="157"/>
      <c r="BA36" s="157"/>
      <c r="BB36" s="157"/>
      <c r="BC36" s="157"/>
      <c r="BD36" s="157"/>
      <c r="BE36" s="157"/>
      <c r="BF36" s="157" t="s">
        <v>92</v>
      </c>
      <c r="BG36" s="203" t="s">
        <v>93</v>
      </c>
      <c r="BH36" s="201" t="str">
        <f t="shared" si="64"/>
        <v>企业钦北区人民政府</v>
      </c>
      <c r="BI36" s="201" t="str">
        <f t="shared" si="65"/>
        <v>产业钦北区人民政府</v>
      </c>
      <c r="BJ36" s="204">
        <f t="shared" si="66"/>
        <v>0</v>
      </c>
      <c r="BK36" s="157" t="str">
        <f t="shared" si="67"/>
        <v>工业钦北区1000</v>
      </c>
      <c r="BL36" s="157" t="str">
        <f t="shared" si="68"/>
        <v>工业钦北区2000</v>
      </c>
      <c r="BM36" s="157" t="str">
        <f t="shared" si="69"/>
        <v>工业钦北区5000</v>
      </c>
      <c r="BN36" s="157"/>
      <c r="BO36" s="157">
        <f t="shared" si="70"/>
        <v>1</v>
      </c>
      <c r="BP36" s="157">
        <f t="shared" si="71"/>
        <v>0</v>
      </c>
      <c r="BQ36" s="157">
        <f t="shared" si="72"/>
        <v>0</v>
      </c>
      <c r="BR36" s="157">
        <f t="shared" si="73"/>
        <v>0</v>
      </c>
      <c r="BS36" s="157">
        <f t="shared" si="74"/>
        <v>0</v>
      </c>
      <c r="BT36" s="181"/>
      <c r="BU36" s="206"/>
    </row>
    <row r="37" ht="64.9" customHeight="1" spans="1:73">
      <c r="A37" s="23">
        <f>SUBTOTAL(3,C$7:C37)</f>
        <v>22</v>
      </c>
      <c r="B37" s="55" t="s">
        <v>685</v>
      </c>
      <c r="C37" s="35" t="s">
        <v>562</v>
      </c>
      <c r="D37" s="55" t="s">
        <v>686</v>
      </c>
      <c r="E37" s="35" t="s">
        <v>564</v>
      </c>
      <c r="F37" s="36">
        <v>23115</v>
      </c>
      <c r="G37" s="36">
        <v>3500</v>
      </c>
      <c r="H37" s="112" t="s">
        <v>687</v>
      </c>
      <c r="I37" s="36">
        <v>400</v>
      </c>
      <c r="J37" s="36">
        <v>1100</v>
      </c>
      <c r="K37" s="36">
        <v>2100</v>
      </c>
      <c r="L37" s="36">
        <v>3000</v>
      </c>
      <c r="M37" s="36"/>
      <c r="N37" s="111"/>
      <c r="O37" s="67"/>
      <c r="P37" s="90" t="s">
        <v>2244</v>
      </c>
      <c r="Q37" s="90" t="s">
        <v>2245</v>
      </c>
      <c r="R37" s="132">
        <v>100</v>
      </c>
      <c r="S37" s="132"/>
      <c r="T37" s="132">
        <v>100</v>
      </c>
      <c r="U37" s="132"/>
      <c r="V37" s="132"/>
      <c r="W37" s="132"/>
      <c r="X37" s="132"/>
      <c r="Y37" s="132"/>
      <c r="Z37" s="132"/>
      <c r="AA37" s="132"/>
      <c r="AB37" s="132"/>
      <c r="AC37" s="132"/>
      <c r="AD37" s="132"/>
      <c r="AE37" s="132"/>
      <c r="AF37" s="132"/>
      <c r="AG37" s="132"/>
      <c r="AH37" s="132"/>
      <c r="AI37" s="90"/>
      <c r="AJ37" s="90" t="s">
        <v>117</v>
      </c>
      <c r="AK37" s="34" t="s">
        <v>688</v>
      </c>
      <c r="AL37" s="35" t="s">
        <v>2246</v>
      </c>
      <c r="AM37" s="35" t="s">
        <v>375</v>
      </c>
      <c r="AN37" s="91"/>
      <c r="AO37" s="157"/>
      <c r="AP37" s="158" t="s">
        <v>376</v>
      </c>
      <c r="AQ37" s="158" t="s">
        <v>91</v>
      </c>
      <c r="AR37" s="158" t="str">
        <f t="shared" si="62"/>
        <v>工业钦北区</v>
      </c>
      <c r="AS37" s="158" t="str">
        <f t="shared" si="63"/>
        <v>工业</v>
      </c>
      <c r="AT37" s="158"/>
      <c r="AU37" s="161"/>
      <c r="AV37" s="161"/>
      <c r="AW37" s="160"/>
      <c r="AX37" s="157"/>
      <c r="AY37" s="157"/>
      <c r="AZ37" s="157"/>
      <c r="BA37" s="157"/>
      <c r="BB37" s="157"/>
      <c r="BC37" s="157"/>
      <c r="BD37" s="157"/>
      <c r="BE37" s="157"/>
      <c r="BF37" s="157" t="s">
        <v>92</v>
      </c>
      <c r="BG37" s="203" t="s">
        <v>93</v>
      </c>
      <c r="BH37" s="201" t="str">
        <f t="shared" si="64"/>
        <v>企业钦北区人民政府</v>
      </c>
      <c r="BI37" s="201" t="str">
        <f t="shared" si="65"/>
        <v>产业钦北区人民政府</v>
      </c>
      <c r="BJ37" s="204">
        <f t="shared" si="66"/>
        <v>0</v>
      </c>
      <c r="BK37" s="157" t="str">
        <f t="shared" si="67"/>
        <v>工业钦北区1000</v>
      </c>
      <c r="BL37" s="157" t="str">
        <f t="shared" si="68"/>
        <v>工业钦北区2000</v>
      </c>
      <c r="BM37" s="157" t="str">
        <f t="shared" si="69"/>
        <v/>
      </c>
      <c r="BN37" s="157"/>
      <c r="BO37" s="157">
        <f t="shared" si="70"/>
        <v>1</v>
      </c>
      <c r="BP37" s="157">
        <f t="shared" si="71"/>
        <v>0</v>
      </c>
      <c r="BQ37" s="157">
        <f t="shared" si="72"/>
        <v>0</v>
      </c>
      <c r="BR37" s="157">
        <f t="shared" si="73"/>
        <v>0</v>
      </c>
      <c r="BS37" s="157">
        <f t="shared" si="74"/>
        <v>0</v>
      </c>
      <c r="BT37" s="181"/>
      <c r="BU37" s="206"/>
    </row>
    <row r="38" ht="64.9" customHeight="1" spans="1:73">
      <c r="A38" s="23">
        <f>SUBTOTAL(3,C$7:C38)</f>
        <v>23</v>
      </c>
      <c r="B38" s="55" t="s">
        <v>689</v>
      </c>
      <c r="C38" s="35" t="s">
        <v>562</v>
      </c>
      <c r="D38" s="55" t="s">
        <v>690</v>
      </c>
      <c r="E38" s="35" t="s">
        <v>604</v>
      </c>
      <c r="F38" s="36">
        <v>10000</v>
      </c>
      <c r="G38" s="36">
        <v>300</v>
      </c>
      <c r="H38" s="112" t="s">
        <v>379</v>
      </c>
      <c r="I38" s="36">
        <v>150</v>
      </c>
      <c r="J38" s="36">
        <v>400</v>
      </c>
      <c r="K38" s="36">
        <v>800</v>
      </c>
      <c r="L38" s="36">
        <v>2000</v>
      </c>
      <c r="M38" s="36"/>
      <c r="N38" s="111"/>
      <c r="O38" s="67"/>
      <c r="P38" s="90" t="s">
        <v>2247</v>
      </c>
      <c r="Q38" s="90" t="s">
        <v>117</v>
      </c>
      <c r="R38" s="132"/>
      <c r="S38" s="132"/>
      <c r="T38" s="132"/>
      <c r="U38" s="132"/>
      <c r="V38" s="132"/>
      <c r="W38" s="132"/>
      <c r="X38" s="132"/>
      <c r="Y38" s="132"/>
      <c r="Z38" s="132"/>
      <c r="AA38" s="132"/>
      <c r="AB38" s="132"/>
      <c r="AC38" s="132"/>
      <c r="AD38" s="132"/>
      <c r="AE38" s="132"/>
      <c r="AF38" s="132"/>
      <c r="AG38" s="132"/>
      <c r="AH38" s="132"/>
      <c r="AI38" s="90"/>
      <c r="AJ38" s="90" t="s">
        <v>117</v>
      </c>
      <c r="AK38" s="34" t="s">
        <v>691</v>
      </c>
      <c r="AL38" s="35" t="s">
        <v>2248</v>
      </c>
      <c r="AM38" s="35" t="s">
        <v>375</v>
      </c>
      <c r="AN38" s="91"/>
      <c r="AO38" s="157"/>
      <c r="AP38" s="158" t="s">
        <v>376</v>
      </c>
      <c r="AQ38" s="158" t="s">
        <v>91</v>
      </c>
      <c r="AR38" s="158" t="str">
        <f t="shared" si="62"/>
        <v>工业钦北区</v>
      </c>
      <c r="AS38" s="158" t="str">
        <f t="shared" si="63"/>
        <v>工业</v>
      </c>
      <c r="AT38" s="158"/>
      <c r="AU38" s="161"/>
      <c r="AV38" s="161"/>
      <c r="AW38" s="160"/>
      <c r="AX38" s="157"/>
      <c r="AY38" s="157"/>
      <c r="AZ38" s="157"/>
      <c r="BA38" s="157"/>
      <c r="BB38" s="157"/>
      <c r="BC38" s="157"/>
      <c r="BD38" s="157"/>
      <c r="BE38" s="157"/>
      <c r="BF38" s="157" t="s">
        <v>92</v>
      </c>
      <c r="BG38" s="203" t="s">
        <v>93</v>
      </c>
      <c r="BH38" s="201" t="str">
        <f t="shared" si="64"/>
        <v>企业钦北区人民政府</v>
      </c>
      <c r="BI38" s="201" t="str">
        <f t="shared" si="65"/>
        <v>产业钦北区人民政府</v>
      </c>
      <c r="BJ38" s="204">
        <f t="shared" si="66"/>
        <v>0</v>
      </c>
      <c r="BK38" s="157" t="str">
        <f t="shared" si="67"/>
        <v>工业钦北区1000</v>
      </c>
      <c r="BL38" s="157" t="str">
        <f t="shared" si="68"/>
        <v>工业钦北区2000</v>
      </c>
      <c r="BM38" s="157" t="str">
        <f t="shared" si="69"/>
        <v/>
      </c>
      <c r="BN38" s="157"/>
      <c r="BO38" s="157">
        <f t="shared" si="70"/>
        <v>0</v>
      </c>
      <c r="BP38" s="157">
        <f t="shared" si="71"/>
        <v>0</v>
      </c>
      <c r="BQ38" s="157">
        <f t="shared" si="72"/>
        <v>0</v>
      </c>
      <c r="BR38" s="157">
        <f t="shared" si="73"/>
        <v>0</v>
      </c>
      <c r="BS38" s="157">
        <f t="shared" si="74"/>
        <v>0</v>
      </c>
      <c r="BT38" s="181"/>
      <c r="BU38" s="206"/>
    </row>
    <row r="39" s="9" customFormat="1" ht="24.75" customHeight="1" spans="1:72">
      <c r="A39" s="551"/>
      <c r="B39" s="557" t="str">
        <f>"灵山县（"&amp;SUBTOTAL(3,C40:C40)&amp;"个）"</f>
        <v>灵山县（1个）</v>
      </c>
      <c r="C39" s="551"/>
      <c r="D39" s="554"/>
      <c r="E39" s="551"/>
      <c r="F39" s="134">
        <f t="shared" ref="F39:M39" si="75">SUBTOTAL(9,F40:F40)</f>
        <v>100000</v>
      </c>
      <c r="G39" s="134">
        <f t="shared" si="75"/>
        <v>54950</v>
      </c>
      <c r="H39" s="134"/>
      <c r="I39" s="134">
        <f t="shared" si="75"/>
        <v>5500</v>
      </c>
      <c r="J39" s="134">
        <f t="shared" si="75"/>
        <v>10000</v>
      </c>
      <c r="K39" s="134">
        <f t="shared" si="75"/>
        <v>18000</v>
      </c>
      <c r="L39" s="134">
        <f t="shared" si="75"/>
        <v>30000</v>
      </c>
      <c r="M39" s="134">
        <f t="shared" si="75"/>
        <v>0</v>
      </c>
      <c r="N39" s="134"/>
      <c r="O39" s="134"/>
      <c r="P39" s="674"/>
      <c r="Q39" s="90"/>
      <c r="R39" s="132"/>
      <c r="S39" s="132"/>
      <c r="T39" s="132"/>
      <c r="U39" s="132"/>
      <c r="V39" s="132"/>
      <c r="W39" s="132"/>
      <c r="X39" s="132"/>
      <c r="Y39" s="132"/>
      <c r="Z39" s="132"/>
      <c r="AA39" s="132"/>
      <c r="AB39" s="132"/>
      <c r="AC39" s="132"/>
      <c r="AD39" s="132"/>
      <c r="AE39" s="132"/>
      <c r="AF39" s="132"/>
      <c r="AG39" s="132"/>
      <c r="AH39" s="132"/>
      <c r="AI39" s="90"/>
      <c r="AJ39" s="90"/>
      <c r="AK39" s="591"/>
      <c r="AL39" s="134"/>
      <c r="AM39" s="134"/>
      <c r="AN39" s="91"/>
      <c r="AO39" s="165"/>
      <c r="AP39" s="158"/>
      <c r="AQ39" s="158"/>
      <c r="AR39" s="158"/>
      <c r="AS39" s="158"/>
      <c r="AT39" s="158"/>
      <c r="AU39" s="165"/>
      <c r="AV39" s="169"/>
      <c r="AW39" s="165"/>
      <c r="AX39" s="165"/>
      <c r="AY39" s="165"/>
      <c r="AZ39" s="165"/>
      <c r="BA39" s="165"/>
      <c r="BB39" s="169"/>
      <c r="BC39" s="169"/>
      <c r="BD39" s="169"/>
      <c r="BE39" s="165"/>
      <c r="BF39" s="157"/>
      <c r="BG39" s="685"/>
      <c r="BK39" s="157"/>
      <c r="BL39" s="157"/>
      <c r="BM39" s="157"/>
      <c r="BN39" s="157"/>
      <c r="BO39" s="157"/>
      <c r="BP39" s="157"/>
      <c r="BQ39" s="157"/>
      <c r="BR39" s="157"/>
      <c r="BS39" s="157"/>
      <c r="BT39" s="181"/>
    </row>
    <row r="40" ht="85.5" customHeight="1" spans="1:76">
      <c r="A40" s="23">
        <f>SUBTOTAL(3,C$7:C40)</f>
        <v>24</v>
      </c>
      <c r="B40" s="55" t="s">
        <v>635</v>
      </c>
      <c r="C40" s="35" t="s">
        <v>562</v>
      </c>
      <c r="D40" s="55" t="s">
        <v>636</v>
      </c>
      <c r="E40" s="35" t="s">
        <v>575</v>
      </c>
      <c r="F40" s="36">
        <v>100000</v>
      </c>
      <c r="G40" s="36">
        <v>54950</v>
      </c>
      <c r="H40" s="34" t="s">
        <v>637</v>
      </c>
      <c r="I40" s="35">
        <v>5500</v>
      </c>
      <c r="J40" s="35">
        <v>10000</v>
      </c>
      <c r="K40" s="35">
        <v>18000</v>
      </c>
      <c r="L40" s="36">
        <v>30000</v>
      </c>
      <c r="M40" s="36"/>
      <c r="N40" s="50"/>
      <c r="O40" s="36"/>
      <c r="P40" s="90" t="s">
        <v>2249</v>
      </c>
      <c r="Q40" s="90" t="s">
        <v>2250</v>
      </c>
      <c r="R40" s="132"/>
      <c r="S40" s="132"/>
      <c r="T40" s="132"/>
      <c r="U40" s="132"/>
      <c r="V40" s="132"/>
      <c r="W40" s="132"/>
      <c r="X40" s="132"/>
      <c r="Y40" s="132"/>
      <c r="Z40" s="132"/>
      <c r="AA40" s="132"/>
      <c r="AB40" s="132"/>
      <c r="AC40" s="132"/>
      <c r="AD40" s="132"/>
      <c r="AE40" s="132"/>
      <c r="AF40" s="132"/>
      <c r="AG40" s="132"/>
      <c r="AH40" s="132"/>
      <c r="AI40" s="90"/>
      <c r="AJ40" s="90" t="s">
        <v>638</v>
      </c>
      <c r="AK40" s="34" t="s">
        <v>2251</v>
      </c>
      <c r="AL40" s="35" t="s">
        <v>2252</v>
      </c>
      <c r="AM40" s="35" t="s">
        <v>269</v>
      </c>
      <c r="AN40" s="91"/>
      <c r="AO40" s="157"/>
      <c r="AP40" s="158" t="s">
        <v>270</v>
      </c>
      <c r="AQ40" s="158" t="s">
        <v>91</v>
      </c>
      <c r="AR40" s="158" t="str">
        <f t="shared" ref="AR40:AR46" si="76">AQ40&amp;AP40</f>
        <v>工业灵山县</v>
      </c>
      <c r="AS40" s="158" t="str">
        <f t="shared" ref="AS40:AS46" si="77">AQ40</f>
        <v>工业</v>
      </c>
      <c r="AT40" s="158"/>
      <c r="AU40" s="161"/>
      <c r="AV40" s="161"/>
      <c r="AW40" s="160"/>
      <c r="AX40" s="157"/>
      <c r="AY40" s="157"/>
      <c r="AZ40" s="157"/>
      <c r="BA40" s="157"/>
      <c r="BB40" s="157"/>
      <c r="BC40" s="157"/>
      <c r="BD40" s="157"/>
      <c r="BE40" s="157"/>
      <c r="BF40" s="157" t="s">
        <v>92</v>
      </c>
      <c r="BG40" s="203" t="s">
        <v>93</v>
      </c>
      <c r="BH40" s="201" t="str">
        <f t="shared" ref="BH40:BH46" si="78">BF40&amp;AM40</f>
        <v>企业灵山县人民政府</v>
      </c>
      <c r="BI40" s="201" t="str">
        <f t="shared" ref="BI40:BI46" si="79">BG40&amp;AM40</f>
        <v>产业灵山县人民政府</v>
      </c>
      <c r="BJ40" s="204">
        <f>IF(N40&gt;0,1,0)</f>
        <v>0</v>
      </c>
      <c r="BK40" s="157" t="str">
        <f>IF(L40&lt;1000,"",AR40&amp;"1000")</f>
        <v>工业灵山县1000</v>
      </c>
      <c r="BL40" s="157" t="str">
        <f>IF(L40&lt;2000,"",AR40&amp;"2000")</f>
        <v>工业灵山县2000</v>
      </c>
      <c r="BM40" s="157" t="str">
        <f>IF(L40&lt;5000,"",AR40&amp;"5000")</f>
        <v>工业灵山县5000</v>
      </c>
      <c r="BN40" s="157"/>
      <c r="BO40" s="157">
        <f t="shared" ref="BO40:BO46" si="80">IF(R40&gt;0,1,0)</f>
        <v>0</v>
      </c>
      <c r="BP40" s="157">
        <f t="shared" ref="BP40:BP46" si="81">IF(X40&gt;0,1,0)</f>
        <v>0</v>
      </c>
      <c r="BQ40" s="157">
        <f t="shared" ref="BQ40:BQ46" si="82">IF(U40&gt;0,1,0)</f>
        <v>0</v>
      </c>
      <c r="BR40" s="157">
        <f t="shared" ref="BR40:BR46" si="83">IF(AA40&gt;0,1,0)</f>
        <v>0</v>
      </c>
      <c r="BS40" s="157">
        <f t="shared" ref="BS40:BS46" si="84">IF(AD40&gt;0,1,0)</f>
        <v>0</v>
      </c>
      <c r="BT40" s="157"/>
      <c r="BU40" s="206"/>
      <c r="BW40" s="7" t="s">
        <v>1890</v>
      </c>
      <c r="BX40" s="224"/>
    </row>
    <row r="41" s="9" customFormat="1" ht="24.75" customHeight="1" spans="1:72">
      <c r="A41" s="551"/>
      <c r="B41" s="557" t="str">
        <f>"浦北县（"&amp;SUBTOTAL(3,C42:C46)&amp;"个）"</f>
        <v>浦北县（5个）</v>
      </c>
      <c r="C41" s="551"/>
      <c r="D41" s="554"/>
      <c r="E41" s="551"/>
      <c r="F41" s="134">
        <f t="shared" ref="F41:M41" si="85">SUBTOTAL(9,F42:F46)</f>
        <v>59758</v>
      </c>
      <c r="G41" s="134">
        <f t="shared" si="85"/>
        <v>10900</v>
      </c>
      <c r="H41" s="134"/>
      <c r="I41" s="134">
        <f t="shared" si="85"/>
        <v>5400</v>
      </c>
      <c r="J41" s="134">
        <f t="shared" si="85"/>
        <v>11900</v>
      </c>
      <c r="K41" s="134">
        <f t="shared" si="85"/>
        <v>19900</v>
      </c>
      <c r="L41" s="134">
        <f t="shared" si="85"/>
        <v>26000</v>
      </c>
      <c r="M41" s="134">
        <f t="shared" si="85"/>
        <v>0</v>
      </c>
      <c r="N41" s="134"/>
      <c r="O41" s="134"/>
      <c r="P41" s="674"/>
      <c r="Q41" s="90"/>
      <c r="R41" s="132"/>
      <c r="S41" s="132"/>
      <c r="T41" s="132"/>
      <c r="U41" s="132"/>
      <c r="V41" s="132"/>
      <c r="W41" s="132"/>
      <c r="X41" s="132"/>
      <c r="Y41" s="132"/>
      <c r="Z41" s="132"/>
      <c r="AA41" s="132"/>
      <c r="AB41" s="132"/>
      <c r="AC41" s="132"/>
      <c r="AD41" s="132"/>
      <c r="AE41" s="132"/>
      <c r="AF41" s="132"/>
      <c r="AG41" s="132"/>
      <c r="AH41" s="132"/>
      <c r="AI41" s="90"/>
      <c r="AJ41" s="90"/>
      <c r="AK41" s="591"/>
      <c r="AL41" s="134"/>
      <c r="AM41" s="134"/>
      <c r="AN41" s="91"/>
      <c r="AO41" s="165"/>
      <c r="AP41" s="158"/>
      <c r="AQ41" s="158"/>
      <c r="AR41" s="158"/>
      <c r="AS41" s="158"/>
      <c r="AT41" s="158"/>
      <c r="AU41" s="165"/>
      <c r="AV41" s="169"/>
      <c r="AW41" s="165"/>
      <c r="AX41" s="165"/>
      <c r="AY41" s="165"/>
      <c r="AZ41" s="165"/>
      <c r="BA41" s="165"/>
      <c r="BB41" s="169"/>
      <c r="BC41" s="169"/>
      <c r="BD41" s="169"/>
      <c r="BE41" s="165"/>
      <c r="BF41" s="157"/>
      <c r="BG41" s="685"/>
      <c r="BK41" s="157"/>
      <c r="BL41" s="157"/>
      <c r="BM41" s="157"/>
      <c r="BN41" s="157"/>
      <c r="BO41" s="157"/>
      <c r="BP41" s="157"/>
      <c r="BQ41" s="157"/>
      <c r="BR41" s="157"/>
      <c r="BS41" s="157"/>
      <c r="BT41" s="181"/>
    </row>
    <row r="42" ht="78.75" customHeight="1" spans="1:79">
      <c r="A42" s="23">
        <f>SUBTOTAL(3,C$7:C42)</f>
        <v>25</v>
      </c>
      <c r="B42" s="55" t="s">
        <v>640</v>
      </c>
      <c r="C42" s="35" t="s">
        <v>562</v>
      </c>
      <c r="D42" s="666" t="s">
        <v>641</v>
      </c>
      <c r="E42" s="35" t="s">
        <v>575</v>
      </c>
      <c r="F42" s="35">
        <v>30000</v>
      </c>
      <c r="G42" s="560">
        <v>6000</v>
      </c>
      <c r="H42" s="123" t="s">
        <v>642</v>
      </c>
      <c r="I42" s="67">
        <v>3000</v>
      </c>
      <c r="J42" s="67">
        <v>6500</v>
      </c>
      <c r="K42" s="67">
        <v>12000</v>
      </c>
      <c r="L42" s="560">
        <v>15000</v>
      </c>
      <c r="M42" s="560"/>
      <c r="N42" s="67"/>
      <c r="O42" s="67"/>
      <c r="P42" s="90" t="s">
        <v>2253</v>
      </c>
      <c r="Q42" s="675" t="s">
        <v>117</v>
      </c>
      <c r="R42" s="679"/>
      <c r="S42" s="679"/>
      <c r="T42" s="679"/>
      <c r="U42" s="679"/>
      <c r="V42" s="679"/>
      <c r="W42" s="679"/>
      <c r="X42" s="679"/>
      <c r="Y42" s="679"/>
      <c r="Z42" s="679"/>
      <c r="AA42" s="679"/>
      <c r="AB42" s="679"/>
      <c r="AC42" s="679"/>
      <c r="AD42" s="679"/>
      <c r="AE42" s="679"/>
      <c r="AF42" s="679"/>
      <c r="AG42" s="679"/>
      <c r="AH42" s="679"/>
      <c r="AI42" s="90"/>
      <c r="AJ42" s="90" t="s">
        <v>117</v>
      </c>
      <c r="AK42" s="580" t="s">
        <v>643</v>
      </c>
      <c r="AL42" s="268" t="s">
        <v>2254</v>
      </c>
      <c r="AM42" s="35" t="s">
        <v>317</v>
      </c>
      <c r="AN42" s="91"/>
      <c r="AO42" s="157"/>
      <c r="AP42" s="158" t="s">
        <v>318</v>
      </c>
      <c r="AQ42" s="158" t="s">
        <v>91</v>
      </c>
      <c r="AR42" s="158" t="str">
        <f t="shared" si="76"/>
        <v>工业浦北县</v>
      </c>
      <c r="AS42" s="158" t="str">
        <f t="shared" si="77"/>
        <v>工业</v>
      </c>
      <c r="AT42" s="158"/>
      <c r="AU42" s="161"/>
      <c r="AV42" s="161"/>
      <c r="AW42" s="160"/>
      <c r="AX42" s="157"/>
      <c r="AY42" s="157"/>
      <c r="AZ42" s="157"/>
      <c r="BA42" s="157"/>
      <c r="BB42" s="157"/>
      <c r="BC42" s="157"/>
      <c r="BD42" s="157"/>
      <c r="BE42" s="157"/>
      <c r="BF42" s="157" t="s">
        <v>92</v>
      </c>
      <c r="BG42" s="203" t="s">
        <v>93</v>
      </c>
      <c r="BH42" s="201" t="str">
        <f t="shared" si="78"/>
        <v>企业浦北县人民政府</v>
      </c>
      <c r="BI42" s="201" t="str">
        <f t="shared" si="79"/>
        <v>产业浦北县人民政府</v>
      </c>
      <c r="BJ42" s="7"/>
      <c r="BK42" s="157"/>
      <c r="BL42" s="157"/>
      <c r="BM42" s="157"/>
      <c r="BN42" s="157"/>
      <c r="BO42" s="157">
        <f t="shared" si="80"/>
        <v>0</v>
      </c>
      <c r="BP42" s="157">
        <f t="shared" si="81"/>
        <v>0</v>
      </c>
      <c r="BQ42" s="157">
        <f t="shared" si="82"/>
        <v>0</v>
      </c>
      <c r="BR42" s="157">
        <f t="shared" si="83"/>
        <v>0</v>
      </c>
      <c r="BS42" s="157">
        <f t="shared" si="84"/>
        <v>0</v>
      </c>
      <c r="BT42" s="181"/>
      <c r="BW42" s="7"/>
      <c r="BX42" s="7"/>
      <c r="BY42" s="7"/>
      <c r="BZ42" s="7"/>
      <c r="CA42" s="7"/>
    </row>
    <row r="43" ht="51.4" customHeight="1" spans="1:79">
      <c r="A43" s="23">
        <f>SUBTOTAL(3,C$7:C43)</f>
        <v>26</v>
      </c>
      <c r="B43" s="561" t="s">
        <v>644</v>
      </c>
      <c r="C43" s="35" t="s">
        <v>562</v>
      </c>
      <c r="D43" s="667" t="s">
        <v>645</v>
      </c>
      <c r="E43" s="35" t="s">
        <v>575</v>
      </c>
      <c r="F43" s="35">
        <v>12758</v>
      </c>
      <c r="G43" s="560">
        <v>2500</v>
      </c>
      <c r="H43" s="123" t="s">
        <v>646</v>
      </c>
      <c r="I43" s="67">
        <v>1000</v>
      </c>
      <c r="J43" s="67">
        <v>2500</v>
      </c>
      <c r="K43" s="67">
        <v>3500</v>
      </c>
      <c r="L43" s="560">
        <v>5000</v>
      </c>
      <c r="M43" s="560"/>
      <c r="N43" s="67"/>
      <c r="O43" s="67"/>
      <c r="P43" s="54" t="s">
        <v>2255</v>
      </c>
      <c r="Q43" s="90" t="s">
        <v>2256</v>
      </c>
      <c r="R43" s="132">
        <v>80</v>
      </c>
      <c r="S43" s="132">
        <v>80</v>
      </c>
      <c r="T43" s="132"/>
      <c r="U43" s="132"/>
      <c r="V43" s="132"/>
      <c r="W43" s="132"/>
      <c r="X43" s="132"/>
      <c r="Y43" s="132"/>
      <c r="Z43" s="132"/>
      <c r="AA43" s="132"/>
      <c r="AB43" s="132"/>
      <c r="AC43" s="132"/>
      <c r="AD43" s="132"/>
      <c r="AE43" s="132"/>
      <c r="AF43" s="132"/>
      <c r="AG43" s="132"/>
      <c r="AH43" s="132"/>
      <c r="AI43" s="90"/>
      <c r="AJ43" s="90" t="s">
        <v>117</v>
      </c>
      <c r="AK43" s="123" t="s">
        <v>647</v>
      </c>
      <c r="AL43" s="67" t="s">
        <v>2257</v>
      </c>
      <c r="AM43" s="35" t="s">
        <v>317</v>
      </c>
      <c r="AN43" s="91"/>
      <c r="AO43" s="157"/>
      <c r="AP43" s="158" t="s">
        <v>318</v>
      </c>
      <c r="AQ43" s="158" t="s">
        <v>91</v>
      </c>
      <c r="AR43" s="158" t="str">
        <f t="shared" si="76"/>
        <v>工业浦北县</v>
      </c>
      <c r="AS43" s="158" t="str">
        <f t="shared" si="77"/>
        <v>工业</v>
      </c>
      <c r="AT43" s="158"/>
      <c r="AU43" s="161"/>
      <c r="AV43" s="161"/>
      <c r="AW43" s="160"/>
      <c r="AX43" s="157"/>
      <c r="AY43" s="157"/>
      <c r="AZ43" s="157"/>
      <c r="BA43" s="157"/>
      <c r="BB43" s="157"/>
      <c r="BC43" s="157"/>
      <c r="BD43" s="157"/>
      <c r="BE43" s="157"/>
      <c r="BF43" s="157" t="s">
        <v>92</v>
      </c>
      <c r="BG43" s="203" t="s">
        <v>93</v>
      </c>
      <c r="BH43" s="201" t="str">
        <f t="shared" si="78"/>
        <v>企业浦北县人民政府</v>
      </c>
      <c r="BI43" s="201" t="str">
        <f t="shared" si="79"/>
        <v>产业浦北县人民政府</v>
      </c>
      <c r="BJ43" s="7"/>
      <c r="BK43" s="157"/>
      <c r="BL43" s="157"/>
      <c r="BM43" s="157"/>
      <c r="BN43" s="157"/>
      <c r="BO43" s="157">
        <f t="shared" si="80"/>
        <v>1</v>
      </c>
      <c r="BP43" s="157">
        <f t="shared" si="81"/>
        <v>0</v>
      </c>
      <c r="BQ43" s="157">
        <f t="shared" si="82"/>
        <v>0</v>
      </c>
      <c r="BR43" s="157">
        <f t="shared" si="83"/>
        <v>0</v>
      </c>
      <c r="BS43" s="157">
        <f t="shared" si="84"/>
        <v>0</v>
      </c>
      <c r="BT43" s="181"/>
      <c r="BW43" s="7"/>
      <c r="BX43" s="7"/>
      <c r="BY43" s="7"/>
      <c r="BZ43" s="7"/>
      <c r="CA43" s="7"/>
    </row>
    <row r="44" ht="51.4" customHeight="1" spans="1:79">
      <c r="A44" s="23">
        <f>SUBTOTAL(3,C$7:C44)</f>
        <v>27</v>
      </c>
      <c r="B44" s="668" t="s">
        <v>648</v>
      </c>
      <c r="C44" s="35" t="s">
        <v>562</v>
      </c>
      <c r="D44" s="232" t="s">
        <v>649</v>
      </c>
      <c r="E44" s="35" t="s">
        <v>575</v>
      </c>
      <c r="F44" s="35">
        <v>7000</v>
      </c>
      <c r="G44" s="35">
        <v>1200</v>
      </c>
      <c r="H44" s="123" t="s">
        <v>321</v>
      </c>
      <c r="I44" s="67">
        <v>500</v>
      </c>
      <c r="J44" s="67">
        <v>1300</v>
      </c>
      <c r="K44" s="67">
        <v>2100</v>
      </c>
      <c r="L44" s="35">
        <v>3000</v>
      </c>
      <c r="M44" s="35"/>
      <c r="N44" s="67"/>
      <c r="O44" s="67"/>
      <c r="P44" s="561" t="s">
        <v>2258</v>
      </c>
      <c r="Q44" s="561" t="s">
        <v>117</v>
      </c>
      <c r="R44" s="132"/>
      <c r="S44" s="132"/>
      <c r="T44" s="132"/>
      <c r="U44" s="132"/>
      <c r="V44" s="132"/>
      <c r="W44" s="132"/>
      <c r="X44" s="132"/>
      <c r="Y44" s="132"/>
      <c r="Z44" s="132"/>
      <c r="AA44" s="132"/>
      <c r="AB44" s="132"/>
      <c r="AC44" s="132"/>
      <c r="AD44" s="132"/>
      <c r="AE44" s="132"/>
      <c r="AF44" s="132"/>
      <c r="AG44" s="132"/>
      <c r="AH44" s="132"/>
      <c r="AI44" s="90"/>
      <c r="AJ44" s="90" t="s">
        <v>117</v>
      </c>
      <c r="AK44" s="34" t="s">
        <v>650</v>
      </c>
      <c r="AL44" s="35" t="s">
        <v>2259</v>
      </c>
      <c r="AM44" s="35" t="s">
        <v>317</v>
      </c>
      <c r="AN44" s="91"/>
      <c r="AO44" s="157"/>
      <c r="AP44" s="158" t="s">
        <v>318</v>
      </c>
      <c r="AQ44" s="158" t="s">
        <v>91</v>
      </c>
      <c r="AR44" s="158" t="str">
        <f t="shared" si="76"/>
        <v>工业浦北县</v>
      </c>
      <c r="AS44" s="158" t="str">
        <f t="shared" si="77"/>
        <v>工业</v>
      </c>
      <c r="AT44" s="158"/>
      <c r="AU44" s="161"/>
      <c r="AV44" s="161"/>
      <c r="AW44" s="160"/>
      <c r="AX44" s="157"/>
      <c r="AY44" s="157"/>
      <c r="AZ44" s="157"/>
      <c r="BA44" s="157"/>
      <c r="BB44" s="157"/>
      <c r="BC44" s="157"/>
      <c r="BD44" s="157"/>
      <c r="BE44" s="157"/>
      <c r="BF44" s="157" t="s">
        <v>92</v>
      </c>
      <c r="BG44" s="203" t="s">
        <v>93</v>
      </c>
      <c r="BH44" s="201" t="str">
        <f t="shared" si="78"/>
        <v>企业浦北县人民政府</v>
      </c>
      <c r="BI44" s="201" t="str">
        <f t="shared" si="79"/>
        <v>产业浦北县人民政府</v>
      </c>
      <c r="BJ44" s="7"/>
      <c r="BK44" s="157"/>
      <c r="BL44" s="157"/>
      <c r="BM44" s="157"/>
      <c r="BN44" s="157"/>
      <c r="BO44" s="157">
        <f t="shared" si="80"/>
        <v>0</v>
      </c>
      <c r="BP44" s="157">
        <f t="shared" si="81"/>
        <v>0</v>
      </c>
      <c r="BQ44" s="157">
        <f t="shared" si="82"/>
        <v>0</v>
      </c>
      <c r="BR44" s="157">
        <f t="shared" si="83"/>
        <v>0</v>
      </c>
      <c r="BS44" s="157">
        <f t="shared" si="84"/>
        <v>0</v>
      </c>
      <c r="BT44" s="181"/>
      <c r="BW44" s="7"/>
      <c r="BX44" s="7"/>
      <c r="BY44" s="7"/>
      <c r="BZ44" s="7"/>
      <c r="CA44" s="7"/>
    </row>
    <row r="45" ht="51.4" customHeight="1" spans="1:79">
      <c r="A45" s="23">
        <f>SUBTOTAL(3,C$7:C45)</f>
        <v>28</v>
      </c>
      <c r="B45" s="561" t="s">
        <v>2260</v>
      </c>
      <c r="C45" s="35" t="s">
        <v>562</v>
      </c>
      <c r="D45" s="667" t="s">
        <v>652</v>
      </c>
      <c r="E45" s="35" t="s">
        <v>575</v>
      </c>
      <c r="F45" s="35">
        <v>5000</v>
      </c>
      <c r="G45" s="560">
        <v>200</v>
      </c>
      <c r="H45" s="123" t="s">
        <v>653</v>
      </c>
      <c r="I45" s="67">
        <v>600</v>
      </c>
      <c r="J45" s="67">
        <v>1100</v>
      </c>
      <c r="K45" s="67">
        <v>1500</v>
      </c>
      <c r="L45" s="560">
        <v>2000</v>
      </c>
      <c r="M45" s="560"/>
      <c r="N45" s="67"/>
      <c r="O45" s="67"/>
      <c r="P45" s="675" t="s">
        <v>2261</v>
      </c>
      <c r="Q45" s="90" t="s">
        <v>2262</v>
      </c>
      <c r="R45" s="132"/>
      <c r="S45" s="132"/>
      <c r="T45" s="132"/>
      <c r="U45" s="132"/>
      <c r="V45" s="132"/>
      <c r="W45" s="132"/>
      <c r="X45" s="132"/>
      <c r="Y45" s="132"/>
      <c r="Z45" s="132"/>
      <c r="AA45" s="132"/>
      <c r="AB45" s="132"/>
      <c r="AC45" s="132"/>
      <c r="AD45" s="132"/>
      <c r="AE45" s="132"/>
      <c r="AF45" s="132"/>
      <c r="AG45" s="132"/>
      <c r="AH45" s="132"/>
      <c r="AI45" s="90"/>
      <c r="AJ45" s="90" t="s">
        <v>117</v>
      </c>
      <c r="AK45" s="123" t="s">
        <v>654</v>
      </c>
      <c r="AL45" s="67" t="s">
        <v>2263</v>
      </c>
      <c r="AM45" s="35" t="s">
        <v>317</v>
      </c>
      <c r="AN45" s="91"/>
      <c r="AO45" s="157"/>
      <c r="AP45" s="158" t="s">
        <v>318</v>
      </c>
      <c r="AQ45" s="158" t="s">
        <v>91</v>
      </c>
      <c r="AR45" s="158" t="str">
        <f t="shared" si="76"/>
        <v>工业浦北县</v>
      </c>
      <c r="AS45" s="158" t="str">
        <f t="shared" si="77"/>
        <v>工业</v>
      </c>
      <c r="AT45" s="158"/>
      <c r="AU45" s="161"/>
      <c r="AV45" s="161"/>
      <c r="AW45" s="160"/>
      <c r="AX45" s="157"/>
      <c r="AY45" s="157"/>
      <c r="AZ45" s="157"/>
      <c r="BA45" s="157"/>
      <c r="BB45" s="157"/>
      <c r="BC45" s="157"/>
      <c r="BD45" s="157"/>
      <c r="BE45" s="157"/>
      <c r="BF45" s="157" t="s">
        <v>92</v>
      </c>
      <c r="BG45" s="203" t="s">
        <v>93</v>
      </c>
      <c r="BH45" s="201" t="str">
        <f t="shared" si="78"/>
        <v>企业浦北县人民政府</v>
      </c>
      <c r="BI45" s="201" t="str">
        <f t="shared" si="79"/>
        <v>产业浦北县人民政府</v>
      </c>
      <c r="BJ45" s="7"/>
      <c r="BK45" s="157"/>
      <c r="BL45" s="157"/>
      <c r="BM45" s="157"/>
      <c r="BN45" s="157"/>
      <c r="BO45" s="157">
        <f t="shared" si="80"/>
        <v>0</v>
      </c>
      <c r="BP45" s="157">
        <f t="shared" si="81"/>
        <v>0</v>
      </c>
      <c r="BQ45" s="157">
        <f t="shared" si="82"/>
        <v>0</v>
      </c>
      <c r="BR45" s="157">
        <f t="shared" si="83"/>
        <v>0</v>
      </c>
      <c r="BS45" s="157">
        <f t="shared" si="84"/>
        <v>0</v>
      </c>
      <c r="BT45" s="181"/>
      <c r="BW45" s="7"/>
      <c r="BX45" s="7"/>
      <c r="BY45" s="7"/>
      <c r="BZ45" s="7"/>
      <c r="CA45" s="7"/>
    </row>
    <row r="46" ht="57.75" customHeight="1" spans="1:79">
      <c r="A46" s="23">
        <f>SUBTOTAL(3,C$7:C47)</f>
        <v>29</v>
      </c>
      <c r="B46" s="55" t="s">
        <v>655</v>
      </c>
      <c r="C46" s="35" t="s">
        <v>562</v>
      </c>
      <c r="D46" s="666" t="s">
        <v>656</v>
      </c>
      <c r="E46" s="35" t="s">
        <v>575</v>
      </c>
      <c r="F46" s="35">
        <v>5000</v>
      </c>
      <c r="G46" s="560">
        <v>1000</v>
      </c>
      <c r="H46" s="123" t="s">
        <v>657</v>
      </c>
      <c r="I46" s="67">
        <v>300</v>
      </c>
      <c r="J46" s="67">
        <v>500</v>
      </c>
      <c r="K46" s="67">
        <v>800</v>
      </c>
      <c r="L46" s="560">
        <v>1000</v>
      </c>
      <c r="M46" s="560"/>
      <c r="N46" s="67"/>
      <c r="O46" s="67"/>
      <c r="P46" s="54" t="s">
        <v>2264</v>
      </c>
      <c r="Q46" s="90" t="s">
        <v>117</v>
      </c>
      <c r="R46" s="132"/>
      <c r="S46" s="132"/>
      <c r="T46" s="132"/>
      <c r="U46" s="132"/>
      <c r="V46" s="132"/>
      <c r="W46" s="132"/>
      <c r="X46" s="132"/>
      <c r="Y46" s="132"/>
      <c r="Z46" s="132"/>
      <c r="AA46" s="132"/>
      <c r="AB46" s="132"/>
      <c r="AC46" s="132"/>
      <c r="AD46" s="132"/>
      <c r="AE46" s="132"/>
      <c r="AF46" s="132"/>
      <c r="AG46" s="132"/>
      <c r="AH46" s="132"/>
      <c r="AI46" s="90"/>
      <c r="AJ46" s="90" t="s">
        <v>117</v>
      </c>
      <c r="AK46" s="123" t="s">
        <v>658</v>
      </c>
      <c r="AL46" s="67" t="s">
        <v>2265</v>
      </c>
      <c r="AM46" s="35" t="s">
        <v>317</v>
      </c>
      <c r="AN46" s="91"/>
      <c r="AO46" s="157"/>
      <c r="AP46" s="158" t="s">
        <v>318</v>
      </c>
      <c r="AQ46" s="158" t="s">
        <v>91</v>
      </c>
      <c r="AR46" s="158" t="str">
        <f t="shared" si="76"/>
        <v>工业浦北县</v>
      </c>
      <c r="AS46" s="158" t="str">
        <f t="shared" si="77"/>
        <v>工业</v>
      </c>
      <c r="AT46" s="158"/>
      <c r="AU46" s="161"/>
      <c r="AV46" s="161"/>
      <c r="AW46" s="160"/>
      <c r="AX46" s="157"/>
      <c r="AY46" s="157"/>
      <c r="AZ46" s="157"/>
      <c r="BA46" s="157"/>
      <c r="BB46" s="157"/>
      <c r="BC46" s="157"/>
      <c r="BD46" s="157"/>
      <c r="BE46" s="157"/>
      <c r="BF46" s="157" t="s">
        <v>92</v>
      </c>
      <c r="BG46" s="203" t="s">
        <v>93</v>
      </c>
      <c r="BH46" s="201" t="str">
        <f t="shared" si="78"/>
        <v>企业浦北县人民政府</v>
      </c>
      <c r="BI46" s="201" t="str">
        <f t="shared" si="79"/>
        <v>产业浦北县人民政府</v>
      </c>
      <c r="BJ46" s="7"/>
      <c r="BK46" s="157"/>
      <c r="BL46" s="157"/>
      <c r="BM46" s="157"/>
      <c r="BN46" s="157"/>
      <c r="BO46" s="157">
        <f t="shared" si="80"/>
        <v>0</v>
      </c>
      <c r="BP46" s="157">
        <f t="shared" si="81"/>
        <v>0</v>
      </c>
      <c r="BQ46" s="157">
        <f t="shared" si="82"/>
        <v>0</v>
      </c>
      <c r="BR46" s="157">
        <f t="shared" si="83"/>
        <v>0</v>
      </c>
      <c r="BS46" s="157">
        <f t="shared" si="84"/>
        <v>0</v>
      </c>
      <c r="BT46" s="181"/>
      <c r="BW46" s="7"/>
      <c r="BX46" s="7"/>
      <c r="BY46" s="7"/>
      <c r="BZ46" s="7"/>
      <c r="CA46" s="7"/>
    </row>
    <row r="47" s="9" customFormat="1" ht="30" customHeight="1" spans="1:72">
      <c r="A47" s="551" t="s">
        <v>560</v>
      </c>
      <c r="B47" s="557" t="str">
        <f>"能源（"&amp;SUBTOTAL(3,C48:C52)&amp;"个）"</f>
        <v>能源（5个）</v>
      </c>
      <c r="C47" s="557"/>
      <c r="D47" s="557"/>
      <c r="E47" s="551"/>
      <c r="F47" s="134">
        <f>SUBTOTAL(9,F48:F52)</f>
        <v>385240</v>
      </c>
      <c r="G47" s="134">
        <f t="shared" ref="G47:M47" si="86">SUBTOTAL(9,G48:G52)</f>
        <v>90006</v>
      </c>
      <c r="H47" s="134"/>
      <c r="I47" s="134">
        <f t="shared" si="86"/>
        <v>5850</v>
      </c>
      <c r="J47" s="134">
        <f t="shared" si="86"/>
        <v>23200</v>
      </c>
      <c r="K47" s="134">
        <f t="shared" si="86"/>
        <v>45500</v>
      </c>
      <c r="L47" s="134">
        <f t="shared" si="86"/>
        <v>72000</v>
      </c>
      <c r="M47" s="134">
        <f t="shared" si="86"/>
        <v>0</v>
      </c>
      <c r="N47" s="67"/>
      <c r="O47" s="67"/>
      <c r="P47" s="674"/>
      <c r="Q47" s="90"/>
      <c r="R47" s="132"/>
      <c r="S47" s="132"/>
      <c r="T47" s="132"/>
      <c r="U47" s="132"/>
      <c r="V47" s="132"/>
      <c r="W47" s="132"/>
      <c r="X47" s="132"/>
      <c r="Y47" s="132"/>
      <c r="Z47" s="132"/>
      <c r="AA47" s="132"/>
      <c r="AB47" s="132"/>
      <c r="AC47" s="132"/>
      <c r="AD47" s="132"/>
      <c r="AE47" s="132"/>
      <c r="AF47" s="132"/>
      <c r="AG47" s="132"/>
      <c r="AH47" s="132"/>
      <c r="AI47" s="90"/>
      <c r="AJ47" s="90"/>
      <c r="AK47" s="591"/>
      <c r="AL47" s="134"/>
      <c r="AM47" s="134"/>
      <c r="AN47" s="91"/>
      <c r="AO47" s="165"/>
      <c r="AP47" s="158"/>
      <c r="AQ47" s="158"/>
      <c r="AR47" s="158"/>
      <c r="AS47" s="158"/>
      <c r="AT47" s="158"/>
      <c r="AU47" s="165"/>
      <c r="AV47" s="169"/>
      <c r="AW47" s="165"/>
      <c r="AX47" s="165"/>
      <c r="AY47" s="165"/>
      <c r="AZ47" s="165"/>
      <c r="BA47" s="165"/>
      <c r="BB47" s="169"/>
      <c r="BC47" s="169"/>
      <c r="BD47" s="169"/>
      <c r="BE47" s="165"/>
      <c r="BF47" s="157"/>
      <c r="BG47" s="685"/>
      <c r="BK47" s="157"/>
      <c r="BL47" s="157"/>
      <c r="BM47" s="157"/>
      <c r="BN47" s="659"/>
      <c r="BO47" s="659"/>
      <c r="BP47" s="659"/>
      <c r="BQ47" s="659"/>
      <c r="BR47" s="659"/>
      <c r="BS47" s="659"/>
      <c r="BT47" s="7"/>
    </row>
    <row r="48" ht="68.25" customHeight="1" spans="1:79">
      <c r="A48" s="23">
        <f>SUBTOTAL(3,C$7:C48)</f>
        <v>30</v>
      </c>
      <c r="B48" s="55" t="s">
        <v>697</v>
      </c>
      <c r="C48" s="87" t="s">
        <v>562</v>
      </c>
      <c r="D48" s="55" t="s">
        <v>698</v>
      </c>
      <c r="E48" s="35" t="s">
        <v>575</v>
      </c>
      <c r="F48" s="36">
        <v>94800</v>
      </c>
      <c r="G48" s="36">
        <v>27220</v>
      </c>
      <c r="H48" s="123" t="s">
        <v>699</v>
      </c>
      <c r="I48" s="581">
        <v>250</v>
      </c>
      <c r="J48" s="581">
        <v>800</v>
      </c>
      <c r="K48" s="581">
        <v>1500</v>
      </c>
      <c r="L48" s="36">
        <v>2000</v>
      </c>
      <c r="M48" s="36"/>
      <c r="N48" s="111"/>
      <c r="O48" s="67"/>
      <c r="P48" s="259" t="s">
        <v>2266</v>
      </c>
      <c r="Q48" s="90" t="s">
        <v>2267</v>
      </c>
      <c r="R48" s="132">
        <v>500</v>
      </c>
      <c r="S48" s="132">
        <v>100</v>
      </c>
      <c r="T48" s="132">
        <v>400</v>
      </c>
      <c r="U48" s="132"/>
      <c r="V48" s="132"/>
      <c r="W48" s="132"/>
      <c r="X48" s="132"/>
      <c r="Y48" s="132"/>
      <c r="Z48" s="132"/>
      <c r="AA48" s="132"/>
      <c r="AB48" s="132"/>
      <c r="AC48" s="132"/>
      <c r="AD48" s="132">
        <v>2000</v>
      </c>
      <c r="AE48" s="132"/>
      <c r="AF48" s="132">
        <v>2000</v>
      </c>
      <c r="AG48" s="132"/>
      <c r="AH48" s="132"/>
      <c r="AI48" s="90"/>
      <c r="AJ48" s="259" t="s">
        <v>700</v>
      </c>
      <c r="AK48" s="112" t="s">
        <v>701</v>
      </c>
      <c r="AL48" s="35" t="s">
        <v>2268</v>
      </c>
      <c r="AM48" s="35" t="s">
        <v>359</v>
      </c>
      <c r="AN48" s="91"/>
      <c r="AO48" s="157"/>
      <c r="AP48" s="158" t="s">
        <v>360</v>
      </c>
      <c r="AQ48" s="158" t="s">
        <v>420</v>
      </c>
      <c r="AR48" s="158" t="str">
        <f t="shared" ref="AR48:AR52" si="87">AQ48&amp;AP48</f>
        <v>能源钦南区</v>
      </c>
      <c r="AS48" s="158" t="s">
        <v>91</v>
      </c>
      <c r="AT48" s="158"/>
      <c r="AU48" s="161"/>
      <c r="AV48" s="161"/>
      <c r="AW48" s="160"/>
      <c r="AX48" s="157"/>
      <c r="AY48" s="157"/>
      <c r="AZ48" s="157"/>
      <c r="BA48" s="157"/>
      <c r="BB48" s="157"/>
      <c r="BC48" s="157"/>
      <c r="BD48" s="157"/>
      <c r="BE48" s="157"/>
      <c r="BF48" s="157" t="s">
        <v>92</v>
      </c>
      <c r="BG48" s="203" t="s">
        <v>93</v>
      </c>
      <c r="BH48" s="201" t="str">
        <f t="shared" ref="BH48:BH52" si="88">BF48&amp;AM48</f>
        <v>企业钦南区人民政府</v>
      </c>
      <c r="BI48" s="201" t="str">
        <f t="shared" ref="BI48:BI52" si="89">BG48&amp;AM48</f>
        <v>产业钦南区人民政府</v>
      </c>
      <c r="BJ48" s="204">
        <f t="shared" ref="BJ48:BJ52" si="90">IF(N48&gt;0,1,0)</f>
        <v>0</v>
      </c>
      <c r="BK48" s="157" t="str">
        <f t="shared" ref="BK48:BK52" si="91">IF(L48&lt;1000,"",AR48&amp;"1000")</f>
        <v>能源钦南区1000</v>
      </c>
      <c r="BL48" s="157" t="str">
        <f t="shared" ref="BL48:BL52" si="92">IF(L48&lt;2000,"",AR48&amp;"2000")</f>
        <v>能源钦南区2000</v>
      </c>
      <c r="BM48" s="157" t="str">
        <f t="shared" ref="BM48:BM52" si="93">IF(L48&lt;5000,"",AR48&amp;"5000")</f>
        <v/>
      </c>
      <c r="BN48" s="157"/>
      <c r="BO48" s="157">
        <f t="shared" ref="BO48:BO52" si="94">IF(R48&gt;0,1,0)</f>
        <v>1</v>
      </c>
      <c r="BP48" s="157">
        <f t="shared" ref="BP48:BP52" si="95">IF(X48&gt;0,1,0)</f>
        <v>0</v>
      </c>
      <c r="BQ48" s="157">
        <f t="shared" ref="BQ48:BQ52" si="96">IF(U48&gt;0,1,0)</f>
        <v>0</v>
      </c>
      <c r="BR48" s="157">
        <f t="shared" ref="BR48:BR52" si="97">IF(AA48&gt;0,1,0)</f>
        <v>0</v>
      </c>
      <c r="BS48" s="157">
        <f t="shared" ref="BS48:BS52" si="98">IF(AD48&gt;0,1,0)</f>
        <v>1</v>
      </c>
      <c r="BT48" s="181"/>
      <c r="BU48" s="206"/>
      <c r="BW48" s="7"/>
      <c r="BX48" s="7"/>
      <c r="BY48" s="7"/>
      <c r="BZ48" s="7"/>
      <c r="CA48" s="7"/>
    </row>
    <row r="49" ht="68.25" customHeight="1" spans="1:79">
      <c r="A49" s="23">
        <f>SUBTOTAL(3,C$7:C49)</f>
        <v>31</v>
      </c>
      <c r="B49" s="55" t="s">
        <v>702</v>
      </c>
      <c r="C49" s="87" t="s">
        <v>562</v>
      </c>
      <c r="D49" s="55" t="s">
        <v>2269</v>
      </c>
      <c r="E49" s="35" t="s">
        <v>604</v>
      </c>
      <c r="F49" s="36">
        <v>84000</v>
      </c>
      <c r="G49" s="36">
        <v>20000</v>
      </c>
      <c r="H49" s="123" t="s">
        <v>704</v>
      </c>
      <c r="I49" s="581">
        <v>2600</v>
      </c>
      <c r="J49" s="581">
        <v>7500</v>
      </c>
      <c r="K49" s="581">
        <v>13000</v>
      </c>
      <c r="L49" s="36">
        <v>20000</v>
      </c>
      <c r="M49" s="36"/>
      <c r="N49" s="111"/>
      <c r="O49" s="67"/>
      <c r="P49" s="259" t="s">
        <v>2270</v>
      </c>
      <c r="Q49" s="90" t="s">
        <v>2271</v>
      </c>
      <c r="R49" s="132">
        <v>8000</v>
      </c>
      <c r="S49" s="132">
        <v>800</v>
      </c>
      <c r="T49" s="132">
        <v>7200</v>
      </c>
      <c r="U49" s="132"/>
      <c r="V49" s="132"/>
      <c r="W49" s="132"/>
      <c r="X49" s="132"/>
      <c r="Y49" s="132"/>
      <c r="Z49" s="132"/>
      <c r="AA49" s="132">
        <v>10</v>
      </c>
      <c r="AB49" s="132"/>
      <c r="AC49" s="132">
        <v>10</v>
      </c>
      <c r="AD49" s="132">
        <v>20000</v>
      </c>
      <c r="AE49" s="132"/>
      <c r="AF49" s="132">
        <v>20000</v>
      </c>
      <c r="AG49" s="132"/>
      <c r="AH49" s="132"/>
      <c r="AI49" s="90"/>
      <c r="AJ49" s="259" t="s">
        <v>705</v>
      </c>
      <c r="AK49" s="112" t="s">
        <v>706</v>
      </c>
      <c r="AL49" s="35" t="s">
        <v>2272</v>
      </c>
      <c r="AM49" s="35" t="s">
        <v>359</v>
      </c>
      <c r="AN49" s="91"/>
      <c r="AO49" s="157"/>
      <c r="AP49" s="158" t="s">
        <v>360</v>
      </c>
      <c r="AQ49" s="158" t="s">
        <v>420</v>
      </c>
      <c r="AR49" s="158" t="str">
        <f t="shared" si="87"/>
        <v>能源钦南区</v>
      </c>
      <c r="AS49" s="158" t="s">
        <v>91</v>
      </c>
      <c r="AT49" s="158"/>
      <c r="AU49" s="161"/>
      <c r="AV49" s="161"/>
      <c r="AW49" s="160"/>
      <c r="AX49" s="157"/>
      <c r="AY49" s="157"/>
      <c r="AZ49" s="157"/>
      <c r="BA49" s="157"/>
      <c r="BB49" s="157"/>
      <c r="BC49" s="157"/>
      <c r="BD49" s="157"/>
      <c r="BE49" s="157"/>
      <c r="BF49" s="157" t="s">
        <v>92</v>
      </c>
      <c r="BG49" s="203" t="s">
        <v>93</v>
      </c>
      <c r="BH49" s="201" t="str">
        <f t="shared" si="88"/>
        <v>企业钦南区人民政府</v>
      </c>
      <c r="BI49" s="201" t="str">
        <f t="shared" si="89"/>
        <v>产业钦南区人民政府</v>
      </c>
      <c r="BJ49" s="204">
        <f t="shared" si="90"/>
        <v>0</v>
      </c>
      <c r="BK49" s="157" t="str">
        <f t="shared" si="91"/>
        <v>能源钦南区1000</v>
      </c>
      <c r="BL49" s="157" t="str">
        <f t="shared" si="92"/>
        <v>能源钦南区2000</v>
      </c>
      <c r="BM49" s="157" t="str">
        <f t="shared" si="93"/>
        <v>能源钦南区5000</v>
      </c>
      <c r="BN49" s="157"/>
      <c r="BO49" s="157">
        <f t="shared" si="94"/>
        <v>1</v>
      </c>
      <c r="BP49" s="157">
        <f t="shared" si="95"/>
        <v>0</v>
      </c>
      <c r="BQ49" s="157">
        <f t="shared" si="96"/>
        <v>0</v>
      </c>
      <c r="BR49" s="157">
        <f t="shared" si="97"/>
        <v>1</v>
      </c>
      <c r="BS49" s="157">
        <f t="shared" si="98"/>
        <v>1</v>
      </c>
      <c r="BT49" s="181"/>
      <c r="BU49" s="206"/>
      <c r="BW49" s="7"/>
      <c r="BX49" s="7"/>
      <c r="BY49" s="7"/>
      <c r="BZ49" s="7"/>
      <c r="CA49" s="7"/>
    </row>
    <row r="50" ht="68.25" customHeight="1" spans="1:79">
      <c r="A50" s="23">
        <f>SUBTOTAL(3,C$7:C50)</f>
        <v>32</v>
      </c>
      <c r="B50" s="55" t="s">
        <v>707</v>
      </c>
      <c r="C50" s="87" t="s">
        <v>562</v>
      </c>
      <c r="D50" s="55" t="s">
        <v>698</v>
      </c>
      <c r="E50" s="35" t="s">
        <v>604</v>
      </c>
      <c r="F50" s="36">
        <v>70000</v>
      </c>
      <c r="G50" s="36">
        <v>12409</v>
      </c>
      <c r="H50" s="123" t="s">
        <v>704</v>
      </c>
      <c r="I50" s="581">
        <v>1500</v>
      </c>
      <c r="J50" s="581">
        <v>6900</v>
      </c>
      <c r="K50" s="581">
        <v>15000</v>
      </c>
      <c r="L50" s="36">
        <v>20000</v>
      </c>
      <c r="M50" s="36"/>
      <c r="N50" s="111"/>
      <c r="O50" s="67"/>
      <c r="P50" s="259" t="s">
        <v>2273</v>
      </c>
      <c r="Q50" s="90" t="s">
        <v>2271</v>
      </c>
      <c r="R50" s="132">
        <v>3000</v>
      </c>
      <c r="S50" s="132"/>
      <c r="T50" s="132">
        <v>3000</v>
      </c>
      <c r="U50" s="132"/>
      <c r="V50" s="132"/>
      <c r="W50" s="132"/>
      <c r="X50" s="132"/>
      <c r="Y50" s="132"/>
      <c r="Z50" s="132"/>
      <c r="AA50" s="132">
        <v>10</v>
      </c>
      <c r="AB50" s="132"/>
      <c r="AC50" s="132">
        <v>10</v>
      </c>
      <c r="AD50" s="132">
        <v>20000</v>
      </c>
      <c r="AE50" s="132"/>
      <c r="AF50" s="132">
        <v>14000</v>
      </c>
      <c r="AG50" s="132"/>
      <c r="AH50" s="132">
        <v>6000</v>
      </c>
      <c r="AI50" s="90"/>
      <c r="AJ50" s="259" t="s">
        <v>708</v>
      </c>
      <c r="AK50" s="112" t="s">
        <v>709</v>
      </c>
      <c r="AL50" s="35" t="s">
        <v>2272</v>
      </c>
      <c r="AM50" s="35" t="s">
        <v>359</v>
      </c>
      <c r="AN50" s="91"/>
      <c r="AO50" s="157"/>
      <c r="AP50" s="158" t="s">
        <v>360</v>
      </c>
      <c r="AQ50" s="158" t="s">
        <v>420</v>
      </c>
      <c r="AR50" s="158" t="str">
        <f t="shared" si="87"/>
        <v>能源钦南区</v>
      </c>
      <c r="AS50" s="158" t="s">
        <v>91</v>
      </c>
      <c r="AT50" s="158"/>
      <c r="AU50" s="161"/>
      <c r="AV50" s="161"/>
      <c r="AW50" s="160"/>
      <c r="AX50" s="157"/>
      <c r="AY50" s="157"/>
      <c r="AZ50" s="157"/>
      <c r="BA50" s="157"/>
      <c r="BB50" s="157"/>
      <c r="BC50" s="157"/>
      <c r="BD50" s="157"/>
      <c r="BE50" s="157"/>
      <c r="BF50" s="157" t="s">
        <v>92</v>
      </c>
      <c r="BG50" s="203" t="s">
        <v>93</v>
      </c>
      <c r="BH50" s="201" t="str">
        <f t="shared" si="88"/>
        <v>企业钦南区人民政府</v>
      </c>
      <c r="BI50" s="201" t="str">
        <f t="shared" si="89"/>
        <v>产业钦南区人民政府</v>
      </c>
      <c r="BJ50" s="204">
        <f t="shared" si="90"/>
        <v>0</v>
      </c>
      <c r="BK50" s="157" t="str">
        <f t="shared" si="91"/>
        <v>能源钦南区1000</v>
      </c>
      <c r="BL50" s="157" t="str">
        <f t="shared" si="92"/>
        <v>能源钦南区2000</v>
      </c>
      <c r="BM50" s="157" t="str">
        <f t="shared" si="93"/>
        <v>能源钦南区5000</v>
      </c>
      <c r="BN50" s="157"/>
      <c r="BO50" s="157">
        <f t="shared" si="94"/>
        <v>1</v>
      </c>
      <c r="BP50" s="157">
        <f t="shared" si="95"/>
        <v>0</v>
      </c>
      <c r="BQ50" s="157">
        <f t="shared" si="96"/>
        <v>0</v>
      </c>
      <c r="BR50" s="157">
        <f t="shared" si="97"/>
        <v>1</v>
      </c>
      <c r="BS50" s="157">
        <f t="shared" si="98"/>
        <v>1</v>
      </c>
      <c r="BT50" s="181"/>
      <c r="BU50" s="206"/>
      <c r="BW50" s="7"/>
      <c r="BX50" s="7"/>
      <c r="BY50" s="7"/>
      <c r="BZ50" s="7"/>
      <c r="CA50" s="7"/>
    </row>
    <row r="51" ht="63.75" customHeight="1" spans="1:79">
      <c r="A51" s="23">
        <f>SUBTOTAL(3,C$7:C51)</f>
        <v>33</v>
      </c>
      <c r="B51" s="55" t="s">
        <v>710</v>
      </c>
      <c r="C51" s="87" t="s">
        <v>562</v>
      </c>
      <c r="D51" s="55" t="s">
        <v>711</v>
      </c>
      <c r="E51" s="35" t="s">
        <v>575</v>
      </c>
      <c r="F51" s="36">
        <v>45000</v>
      </c>
      <c r="G51" s="36">
        <v>21027</v>
      </c>
      <c r="H51" s="125" t="s">
        <v>2274</v>
      </c>
      <c r="I51" s="234">
        <v>500</v>
      </c>
      <c r="J51" s="234">
        <v>5000</v>
      </c>
      <c r="K51" s="234">
        <v>8000</v>
      </c>
      <c r="L51" s="36">
        <v>10000</v>
      </c>
      <c r="M51" s="36"/>
      <c r="N51" s="111"/>
      <c r="O51" s="67"/>
      <c r="P51" s="259" t="s">
        <v>2275</v>
      </c>
      <c r="Q51" s="90" t="s">
        <v>2276</v>
      </c>
      <c r="R51" s="132">
        <v>551.4683</v>
      </c>
      <c r="S51" s="132">
        <v>321.3788</v>
      </c>
      <c r="T51" s="132">
        <v>230.0895</v>
      </c>
      <c r="U51" s="132">
        <v>508.0995</v>
      </c>
      <c r="V51" s="132">
        <v>508.0995</v>
      </c>
      <c r="W51" s="132"/>
      <c r="X51" s="132"/>
      <c r="Y51" s="132"/>
      <c r="Z51" s="132"/>
      <c r="AA51" s="132">
        <v>544.9582</v>
      </c>
      <c r="AB51" s="132">
        <v>354.7592</v>
      </c>
      <c r="AC51" s="132">
        <v>190.199</v>
      </c>
      <c r="AD51" s="132">
        <v>2500</v>
      </c>
      <c r="AE51" s="132"/>
      <c r="AF51" s="132">
        <v>2500</v>
      </c>
      <c r="AG51" s="132"/>
      <c r="AH51" s="132"/>
      <c r="AI51" s="90"/>
      <c r="AJ51" s="259" t="s">
        <v>713</v>
      </c>
      <c r="AK51" s="34" t="s">
        <v>714</v>
      </c>
      <c r="AL51" s="35" t="s">
        <v>2277</v>
      </c>
      <c r="AM51" s="35" t="s">
        <v>359</v>
      </c>
      <c r="AN51" s="91"/>
      <c r="AO51" s="157"/>
      <c r="AP51" s="158" t="s">
        <v>360</v>
      </c>
      <c r="AQ51" s="158" t="s">
        <v>420</v>
      </c>
      <c r="AR51" s="158" t="str">
        <f t="shared" si="87"/>
        <v>能源钦南区</v>
      </c>
      <c r="AS51" s="158" t="s">
        <v>91</v>
      </c>
      <c r="AT51" s="158"/>
      <c r="AU51" s="161"/>
      <c r="AV51" s="161"/>
      <c r="AW51" s="160"/>
      <c r="AX51" s="157"/>
      <c r="AY51" s="157"/>
      <c r="AZ51" s="157"/>
      <c r="BA51" s="157"/>
      <c r="BB51" s="157"/>
      <c r="BC51" s="157"/>
      <c r="BD51" s="157"/>
      <c r="BE51" s="157"/>
      <c r="BF51" s="157" t="s">
        <v>92</v>
      </c>
      <c r="BG51" s="203" t="s">
        <v>93</v>
      </c>
      <c r="BH51" s="201" t="str">
        <f t="shared" si="88"/>
        <v>企业钦南区人民政府</v>
      </c>
      <c r="BI51" s="201" t="str">
        <f t="shared" si="89"/>
        <v>产业钦南区人民政府</v>
      </c>
      <c r="BJ51" s="204">
        <f t="shared" si="90"/>
        <v>0</v>
      </c>
      <c r="BK51" s="157" t="str">
        <f t="shared" si="91"/>
        <v>能源钦南区1000</v>
      </c>
      <c r="BL51" s="157" t="str">
        <f t="shared" si="92"/>
        <v>能源钦南区2000</v>
      </c>
      <c r="BM51" s="157" t="str">
        <f t="shared" si="93"/>
        <v>能源钦南区5000</v>
      </c>
      <c r="BN51" s="157"/>
      <c r="BO51" s="157">
        <f t="shared" si="94"/>
        <v>1</v>
      </c>
      <c r="BP51" s="157">
        <f t="shared" si="95"/>
        <v>0</v>
      </c>
      <c r="BQ51" s="157">
        <f t="shared" si="96"/>
        <v>1</v>
      </c>
      <c r="BR51" s="157">
        <f t="shared" si="97"/>
        <v>1</v>
      </c>
      <c r="BS51" s="157">
        <f t="shared" si="98"/>
        <v>1</v>
      </c>
      <c r="BT51" s="181"/>
      <c r="BU51" s="206"/>
      <c r="BW51" s="7"/>
      <c r="BX51" s="7"/>
      <c r="BY51" s="7"/>
      <c r="BZ51" s="7"/>
      <c r="CA51" s="7"/>
    </row>
    <row r="52" ht="87.75" customHeight="1" spans="1:76">
      <c r="A52" s="23">
        <f>SUBTOTAL(3,C$7:C52)</f>
        <v>34</v>
      </c>
      <c r="B52" s="55" t="s">
        <v>692</v>
      </c>
      <c r="C52" s="87" t="s">
        <v>562</v>
      </c>
      <c r="D52" s="232" t="s">
        <v>693</v>
      </c>
      <c r="E52" s="35" t="s">
        <v>575</v>
      </c>
      <c r="F52" s="35">
        <v>91440</v>
      </c>
      <c r="G52" s="35">
        <v>9350</v>
      </c>
      <c r="H52" s="112" t="s">
        <v>694</v>
      </c>
      <c r="I52" s="36">
        <v>1000</v>
      </c>
      <c r="J52" s="36">
        <v>3000</v>
      </c>
      <c r="K52" s="36">
        <v>8000</v>
      </c>
      <c r="L52" s="35">
        <v>20000</v>
      </c>
      <c r="M52" s="35"/>
      <c r="N52" s="56"/>
      <c r="O52" s="127"/>
      <c r="P52" s="55" t="s">
        <v>2278</v>
      </c>
      <c r="Q52" s="90" t="s">
        <v>2279</v>
      </c>
      <c r="R52" s="132"/>
      <c r="S52" s="132"/>
      <c r="T52" s="132"/>
      <c r="U52" s="132"/>
      <c r="V52" s="132"/>
      <c r="W52" s="132"/>
      <c r="X52" s="132"/>
      <c r="Y52" s="132"/>
      <c r="Z52" s="132"/>
      <c r="AA52" s="132"/>
      <c r="AB52" s="132"/>
      <c r="AC52" s="132"/>
      <c r="AD52" s="132"/>
      <c r="AE52" s="132"/>
      <c r="AF52" s="132"/>
      <c r="AG52" s="132"/>
      <c r="AH52" s="132"/>
      <c r="AI52" s="90"/>
      <c r="AJ52" s="90" t="s">
        <v>695</v>
      </c>
      <c r="AK52" s="123" t="s">
        <v>696</v>
      </c>
      <c r="AL52" s="67" t="s">
        <v>2280</v>
      </c>
      <c r="AM52" s="35" t="s">
        <v>317</v>
      </c>
      <c r="AN52" s="91"/>
      <c r="AO52" s="157"/>
      <c r="AP52" s="158" t="s">
        <v>318</v>
      </c>
      <c r="AQ52" s="158" t="s">
        <v>420</v>
      </c>
      <c r="AR52" s="158" t="str">
        <f t="shared" si="87"/>
        <v>能源浦北县</v>
      </c>
      <c r="AS52" s="158" t="s">
        <v>91</v>
      </c>
      <c r="AT52" s="158"/>
      <c r="AU52" s="161"/>
      <c r="AV52" s="161"/>
      <c r="AW52" s="160"/>
      <c r="AX52" s="157"/>
      <c r="AY52" s="157"/>
      <c r="AZ52" s="157"/>
      <c r="BA52" s="157"/>
      <c r="BB52" s="157"/>
      <c r="BC52" s="157"/>
      <c r="BD52" s="157"/>
      <c r="BE52" s="157"/>
      <c r="BF52" s="157" t="s">
        <v>92</v>
      </c>
      <c r="BG52" s="203" t="s">
        <v>93</v>
      </c>
      <c r="BH52" s="201" t="str">
        <f t="shared" si="88"/>
        <v>企业浦北县人民政府</v>
      </c>
      <c r="BI52" s="201" t="str">
        <f t="shared" si="89"/>
        <v>产业浦北县人民政府</v>
      </c>
      <c r="BJ52" s="204">
        <f t="shared" si="90"/>
        <v>0</v>
      </c>
      <c r="BK52" s="157" t="str">
        <f t="shared" si="91"/>
        <v>能源浦北县1000</v>
      </c>
      <c r="BL52" s="157" t="str">
        <f t="shared" si="92"/>
        <v>能源浦北县2000</v>
      </c>
      <c r="BM52" s="157" t="str">
        <f t="shared" si="93"/>
        <v>能源浦北县5000</v>
      </c>
      <c r="BN52" s="157"/>
      <c r="BO52" s="157">
        <f t="shared" si="94"/>
        <v>0</v>
      </c>
      <c r="BP52" s="157">
        <f t="shared" si="95"/>
        <v>0</v>
      </c>
      <c r="BQ52" s="157">
        <f t="shared" si="96"/>
        <v>0</v>
      </c>
      <c r="BR52" s="157">
        <f t="shared" si="97"/>
        <v>0</v>
      </c>
      <c r="BS52" s="157">
        <f t="shared" si="98"/>
        <v>0</v>
      </c>
      <c r="BT52" s="687"/>
      <c r="BU52" s="206"/>
      <c r="BX52" s="206"/>
    </row>
    <row r="53" s="9" customFormat="1" ht="30" customHeight="1" spans="1:72">
      <c r="A53" s="551" t="s">
        <v>808</v>
      </c>
      <c r="B53" s="557" t="str">
        <f>"交通（"&amp;SUBTOTAL(3,C55:C73)&amp;"个）"</f>
        <v>交通（17个）</v>
      </c>
      <c r="C53" s="557"/>
      <c r="D53" s="557"/>
      <c r="E53" s="551"/>
      <c r="F53" s="134">
        <f t="shared" ref="F53:M53" si="99">F60+F54+F58</f>
        <v>1836686.7</v>
      </c>
      <c r="G53" s="134">
        <f t="shared" si="99"/>
        <v>374452.4</v>
      </c>
      <c r="H53" s="134"/>
      <c r="I53" s="134">
        <f t="shared" si="99"/>
        <v>49100</v>
      </c>
      <c r="J53" s="134">
        <f t="shared" si="99"/>
        <v>146100</v>
      </c>
      <c r="K53" s="134">
        <f t="shared" si="99"/>
        <v>287600</v>
      </c>
      <c r="L53" s="134">
        <f t="shared" si="99"/>
        <v>455565</v>
      </c>
      <c r="M53" s="134">
        <f t="shared" si="99"/>
        <v>0</v>
      </c>
      <c r="N53" s="67"/>
      <c r="O53" s="67"/>
      <c r="P53" s="259"/>
      <c r="Q53" s="90"/>
      <c r="R53" s="132"/>
      <c r="S53" s="132"/>
      <c r="T53" s="132"/>
      <c r="U53" s="132"/>
      <c r="V53" s="132"/>
      <c r="W53" s="132"/>
      <c r="X53" s="132"/>
      <c r="Y53" s="132"/>
      <c r="Z53" s="132"/>
      <c r="AA53" s="132"/>
      <c r="AB53" s="132"/>
      <c r="AC53" s="132"/>
      <c r="AD53" s="132"/>
      <c r="AE53" s="132"/>
      <c r="AF53" s="132"/>
      <c r="AG53" s="132"/>
      <c r="AH53" s="132"/>
      <c r="AI53" s="90"/>
      <c r="AJ53" s="90"/>
      <c r="AK53" s="591"/>
      <c r="AL53" s="134"/>
      <c r="AM53" s="134"/>
      <c r="AN53" s="91"/>
      <c r="AO53" s="165"/>
      <c r="AP53" s="158"/>
      <c r="AQ53" s="158"/>
      <c r="AR53" s="158"/>
      <c r="AS53" s="158"/>
      <c r="AT53" s="158"/>
      <c r="AU53" s="165"/>
      <c r="AV53" s="169"/>
      <c r="AW53" s="165"/>
      <c r="AX53" s="165"/>
      <c r="AY53" s="165"/>
      <c r="AZ53" s="165"/>
      <c r="BA53" s="165"/>
      <c r="BB53" s="169"/>
      <c r="BC53" s="169"/>
      <c r="BD53" s="169"/>
      <c r="BE53" s="165"/>
      <c r="BF53" s="157"/>
      <c r="BG53" s="685"/>
      <c r="BK53" s="157"/>
      <c r="BL53" s="157"/>
      <c r="BM53" s="157"/>
      <c r="BN53" s="659"/>
      <c r="BO53" s="659"/>
      <c r="BP53" s="659"/>
      <c r="BQ53" s="659"/>
      <c r="BR53" s="659"/>
      <c r="BS53" s="659"/>
      <c r="BT53" s="7"/>
    </row>
    <row r="54" s="9" customFormat="1" ht="30" customHeight="1" spans="1:72">
      <c r="A54" s="551"/>
      <c r="B54" s="557" t="str">
        <f>"港口水运（"&amp;SUBTOTAL(3,C55:C57)&amp;"个）"</f>
        <v>港口水运（3个）</v>
      </c>
      <c r="C54" s="551"/>
      <c r="D54" s="554"/>
      <c r="E54" s="551"/>
      <c r="F54" s="134">
        <f t="shared" ref="F54:M54" si="100">SUBTOTAL(9,F55:F57)</f>
        <v>251083</v>
      </c>
      <c r="G54" s="134">
        <f t="shared" si="100"/>
        <v>79512</v>
      </c>
      <c r="H54" s="134"/>
      <c r="I54" s="134">
        <f t="shared" si="100"/>
        <v>500</v>
      </c>
      <c r="J54" s="134">
        <f t="shared" si="100"/>
        <v>11000</v>
      </c>
      <c r="K54" s="134">
        <f t="shared" si="100"/>
        <v>25500</v>
      </c>
      <c r="L54" s="134">
        <f t="shared" si="100"/>
        <v>37000</v>
      </c>
      <c r="M54" s="134">
        <f t="shared" si="100"/>
        <v>0</v>
      </c>
      <c r="N54" s="134"/>
      <c r="O54" s="134"/>
      <c r="P54" s="674"/>
      <c r="Q54" s="90"/>
      <c r="R54" s="132"/>
      <c r="S54" s="132"/>
      <c r="T54" s="132"/>
      <c r="U54" s="132"/>
      <c r="V54" s="132"/>
      <c r="W54" s="132"/>
      <c r="X54" s="132"/>
      <c r="Y54" s="132"/>
      <c r="Z54" s="132"/>
      <c r="AA54" s="132"/>
      <c r="AB54" s="132"/>
      <c r="AC54" s="132"/>
      <c r="AD54" s="132"/>
      <c r="AE54" s="132"/>
      <c r="AF54" s="132"/>
      <c r="AG54" s="132"/>
      <c r="AH54" s="132"/>
      <c r="AI54" s="90"/>
      <c r="AJ54" s="90"/>
      <c r="AK54" s="591"/>
      <c r="AL54" s="134"/>
      <c r="AM54" s="134"/>
      <c r="AN54" s="91"/>
      <c r="AO54" s="165"/>
      <c r="AP54" s="158"/>
      <c r="AQ54" s="158"/>
      <c r="AR54" s="158"/>
      <c r="AS54" s="158"/>
      <c r="AT54" s="158"/>
      <c r="AU54" s="165"/>
      <c r="AV54" s="169"/>
      <c r="AW54" s="165"/>
      <c r="AX54" s="165"/>
      <c r="AY54" s="165"/>
      <c r="AZ54" s="165"/>
      <c r="BA54" s="165"/>
      <c r="BB54" s="169"/>
      <c r="BC54" s="169"/>
      <c r="BD54" s="169"/>
      <c r="BE54" s="165"/>
      <c r="BF54" s="157"/>
      <c r="BG54" s="685"/>
      <c r="BK54" s="157"/>
      <c r="BL54" s="157"/>
      <c r="BM54" s="157"/>
      <c r="BN54" s="157"/>
      <c r="BO54" s="157"/>
      <c r="BP54" s="157"/>
      <c r="BQ54" s="157"/>
      <c r="BR54" s="157"/>
      <c r="BS54" s="157"/>
      <c r="BT54" s="181"/>
    </row>
    <row r="55" s="9" customFormat="1" ht="87" customHeight="1" spans="1:72">
      <c r="A55" s="23">
        <f>SUBTOTAL(3,C$7:C55)</f>
        <v>35</v>
      </c>
      <c r="B55" s="55" t="s">
        <v>1108</v>
      </c>
      <c r="C55" s="35" t="s">
        <v>562</v>
      </c>
      <c r="D55" s="60" t="s">
        <v>2281</v>
      </c>
      <c r="E55" s="35" t="s">
        <v>1049</v>
      </c>
      <c r="F55" s="67">
        <v>95454</v>
      </c>
      <c r="G55" s="136">
        <v>36700</v>
      </c>
      <c r="H55" s="244" t="s">
        <v>2282</v>
      </c>
      <c r="I55" s="136"/>
      <c r="J55" s="136">
        <v>500</v>
      </c>
      <c r="K55" s="136">
        <v>1500</v>
      </c>
      <c r="L55" s="136">
        <v>2000</v>
      </c>
      <c r="M55" s="136"/>
      <c r="N55" s="134"/>
      <c r="O55" s="134"/>
      <c r="P55" s="676" t="s">
        <v>2283</v>
      </c>
      <c r="Q55" s="90" t="s">
        <v>2284</v>
      </c>
      <c r="R55" s="132"/>
      <c r="S55" s="132"/>
      <c r="T55" s="132"/>
      <c r="U55" s="132"/>
      <c r="V55" s="132"/>
      <c r="W55" s="132"/>
      <c r="X55" s="132">
        <f>Y55+Z55</f>
        <v>467.6325</v>
      </c>
      <c r="Y55" s="132">
        <f>(2.541+27.6345)*15</f>
        <v>452.6325</v>
      </c>
      <c r="Z55" s="132">
        <v>15</v>
      </c>
      <c r="AA55" s="132"/>
      <c r="AB55" s="132"/>
      <c r="AC55" s="132"/>
      <c r="AD55" s="132">
        <v>2000</v>
      </c>
      <c r="AE55" s="132"/>
      <c r="AF55" s="132"/>
      <c r="AG55" s="132"/>
      <c r="AH55" s="132">
        <v>2000</v>
      </c>
      <c r="AI55" s="90"/>
      <c r="AJ55" s="90" t="s">
        <v>1111</v>
      </c>
      <c r="AK55" s="34" t="s">
        <v>1003</v>
      </c>
      <c r="AL55" s="35" t="s">
        <v>1986</v>
      </c>
      <c r="AM55" s="67" t="s">
        <v>1107</v>
      </c>
      <c r="AN55" s="91"/>
      <c r="AO55" s="165"/>
      <c r="AP55" s="158" t="s">
        <v>1977</v>
      </c>
      <c r="AQ55" s="158" t="s">
        <v>1978</v>
      </c>
      <c r="AR55" s="158" t="str">
        <f t="shared" ref="AR55:AR57" si="101">AQ55&amp;AP55</f>
        <v>交通港口水运</v>
      </c>
      <c r="AS55" s="158" t="s">
        <v>1979</v>
      </c>
      <c r="AT55" s="158"/>
      <c r="AU55" s="165"/>
      <c r="AV55" s="169"/>
      <c r="AW55" s="165"/>
      <c r="AX55" s="165"/>
      <c r="AY55" s="165"/>
      <c r="AZ55" s="165"/>
      <c r="BA55" s="165"/>
      <c r="BB55" s="169"/>
      <c r="BC55" s="169"/>
      <c r="BD55" s="169"/>
      <c r="BE55" s="165"/>
      <c r="BF55" s="201" t="s">
        <v>205</v>
      </c>
      <c r="BG55" s="203" t="s">
        <v>1980</v>
      </c>
      <c r="BH55" s="201" t="str">
        <f t="shared" ref="BH55:BH57" si="102">BF55&amp;AM55</f>
        <v>政府北部湾港口管理局钦州分局、钦州港区管委</v>
      </c>
      <c r="BI55" s="201" t="str">
        <f t="shared" ref="BI55:BI57" si="103">BG55&amp;AM55</f>
        <v>基础设施北部湾港口管理局钦州分局、钦州港区管委</v>
      </c>
      <c r="BK55" s="201"/>
      <c r="BL55" s="201"/>
      <c r="BM55" s="201"/>
      <c r="BN55" s="201"/>
      <c r="BO55" s="157">
        <f t="shared" ref="BO55:BO57" si="104">IF(R55&gt;0,1,0)</f>
        <v>0</v>
      </c>
      <c r="BP55" s="157">
        <f t="shared" ref="BP55:BP57" si="105">IF(X55&gt;0,1,0)</f>
        <v>1</v>
      </c>
      <c r="BQ55" s="157">
        <f t="shared" ref="BQ55:BQ57" si="106">IF(U55&gt;0,1,0)</f>
        <v>0</v>
      </c>
      <c r="BR55" s="157">
        <f t="shared" ref="BR55:BR57" si="107">IF(AA55&gt;0,1,0)</f>
        <v>0</v>
      </c>
      <c r="BS55" s="157">
        <f t="shared" ref="BS55:BS57" si="108">IF(AD55&gt;0,1,0)</f>
        <v>1</v>
      </c>
      <c r="BT55" s="181"/>
    </row>
    <row r="56" ht="90" customHeight="1" spans="1:79">
      <c r="A56" s="23">
        <f>SUBTOTAL(3,C$7:C56)</f>
        <v>36</v>
      </c>
      <c r="B56" s="55" t="s">
        <v>1112</v>
      </c>
      <c r="C56" s="35" t="s">
        <v>562</v>
      </c>
      <c r="D56" s="669" t="s">
        <v>2285</v>
      </c>
      <c r="E56" s="670" t="s">
        <v>588</v>
      </c>
      <c r="F56" s="67">
        <v>79029</v>
      </c>
      <c r="G56" s="38">
        <v>2342</v>
      </c>
      <c r="H56" s="123" t="s">
        <v>1114</v>
      </c>
      <c r="I56" s="67"/>
      <c r="J56" s="67">
        <v>6000</v>
      </c>
      <c r="K56" s="67">
        <v>14000</v>
      </c>
      <c r="L56" s="136">
        <v>20000</v>
      </c>
      <c r="M56" s="136"/>
      <c r="N56" s="67"/>
      <c r="O56" s="67"/>
      <c r="P56" s="669" t="s">
        <v>2286</v>
      </c>
      <c r="Q56" s="90" t="s">
        <v>2287</v>
      </c>
      <c r="R56" s="132"/>
      <c r="S56" s="132"/>
      <c r="T56" s="132"/>
      <c r="U56" s="132"/>
      <c r="V56" s="132"/>
      <c r="W56" s="132"/>
      <c r="X56" s="132">
        <f>(32.107+4.4727+2.7951)*15</f>
        <v>590.622</v>
      </c>
      <c r="Y56" s="132">
        <f>(32.107+4.4727+2.7951)*15</f>
        <v>590.622</v>
      </c>
      <c r="Z56" s="132"/>
      <c r="AA56" s="132"/>
      <c r="AB56" s="132"/>
      <c r="AC56" s="132"/>
      <c r="AD56" s="132">
        <v>8000</v>
      </c>
      <c r="AE56" s="132"/>
      <c r="AF56" s="132">
        <v>5000</v>
      </c>
      <c r="AG56" s="132"/>
      <c r="AH56" s="132">
        <v>3000</v>
      </c>
      <c r="AI56" s="90"/>
      <c r="AJ56" s="669" t="s">
        <v>1115</v>
      </c>
      <c r="AK56" s="34" t="s">
        <v>1003</v>
      </c>
      <c r="AL56" s="35" t="s">
        <v>1986</v>
      </c>
      <c r="AM56" s="67" t="s">
        <v>1107</v>
      </c>
      <c r="AN56" s="91"/>
      <c r="AO56" s="157"/>
      <c r="AP56" s="158" t="s">
        <v>1977</v>
      </c>
      <c r="AQ56" s="158" t="s">
        <v>1978</v>
      </c>
      <c r="AR56" s="158" t="str">
        <f t="shared" si="101"/>
        <v>交通港口水运</v>
      </c>
      <c r="AS56" s="158" t="s">
        <v>1979</v>
      </c>
      <c r="AT56" s="158"/>
      <c r="AU56" s="157"/>
      <c r="AV56" s="272"/>
      <c r="AW56" s="160"/>
      <c r="AX56" s="157"/>
      <c r="AY56" s="157"/>
      <c r="AZ56" s="157"/>
      <c r="BA56" s="157"/>
      <c r="BB56" s="157"/>
      <c r="BC56" s="157"/>
      <c r="BD56" s="157"/>
      <c r="BE56" s="157"/>
      <c r="BF56" s="201" t="s">
        <v>205</v>
      </c>
      <c r="BG56" s="203" t="s">
        <v>1980</v>
      </c>
      <c r="BH56" s="201" t="str">
        <f t="shared" si="102"/>
        <v>政府北部湾港口管理局钦州分局、钦州港区管委</v>
      </c>
      <c r="BI56" s="201" t="str">
        <f t="shared" si="103"/>
        <v>基础设施北部湾港口管理局钦州分局、钦州港区管委</v>
      </c>
      <c r="BJ56" s="204">
        <f>IF(N56&gt;0,1,0)</f>
        <v>0</v>
      </c>
      <c r="BK56" s="157" t="s">
        <v>2288</v>
      </c>
      <c r="BL56" s="157" t="s">
        <v>2288</v>
      </c>
      <c r="BM56" s="157" t="s">
        <v>2288</v>
      </c>
      <c r="BN56" s="157"/>
      <c r="BO56" s="157">
        <f t="shared" si="104"/>
        <v>0</v>
      </c>
      <c r="BP56" s="157">
        <f t="shared" si="105"/>
        <v>1</v>
      </c>
      <c r="BQ56" s="157">
        <f t="shared" si="106"/>
        <v>0</v>
      </c>
      <c r="BR56" s="157">
        <f t="shared" si="107"/>
        <v>0</v>
      </c>
      <c r="BS56" s="157">
        <f t="shared" si="108"/>
        <v>1</v>
      </c>
      <c r="BT56" s="181"/>
      <c r="BU56" s="206"/>
      <c r="BW56" s="7"/>
      <c r="BX56" s="7"/>
      <c r="BY56" s="7"/>
      <c r="BZ56" s="7"/>
      <c r="CA56" s="7"/>
    </row>
    <row r="57" ht="72.75" customHeight="1" spans="1:79">
      <c r="A57" s="23">
        <f>SUBTOTAL(3,C$7:C57)</f>
        <v>37</v>
      </c>
      <c r="B57" s="55" t="s">
        <v>2289</v>
      </c>
      <c r="C57" s="35" t="s">
        <v>562</v>
      </c>
      <c r="D57" s="55" t="s">
        <v>1120</v>
      </c>
      <c r="E57" s="35" t="s">
        <v>627</v>
      </c>
      <c r="F57" s="35">
        <v>76600</v>
      </c>
      <c r="G57" s="35">
        <v>40470</v>
      </c>
      <c r="H57" s="123" t="s">
        <v>1121</v>
      </c>
      <c r="I57" s="67">
        <v>500</v>
      </c>
      <c r="J57" s="67">
        <v>4500</v>
      </c>
      <c r="K57" s="67">
        <v>10000</v>
      </c>
      <c r="L57" s="35">
        <v>15000</v>
      </c>
      <c r="M57" s="35"/>
      <c r="N57" s="111"/>
      <c r="O57" s="67"/>
      <c r="P57" s="55" t="s">
        <v>2290</v>
      </c>
      <c r="Q57" s="55" t="s">
        <v>2291</v>
      </c>
      <c r="R57" s="132"/>
      <c r="S57" s="132"/>
      <c r="T57" s="132"/>
      <c r="U57" s="132"/>
      <c r="V57" s="132"/>
      <c r="W57" s="132"/>
      <c r="X57" s="132"/>
      <c r="Y57" s="132"/>
      <c r="Z57" s="132"/>
      <c r="AA57" s="132"/>
      <c r="AB57" s="132"/>
      <c r="AC57" s="132"/>
      <c r="AD57" s="132"/>
      <c r="AE57" s="132"/>
      <c r="AF57" s="132"/>
      <c r="AG57" s="132"/>
      <c r="AH57" s="132"/>
      <c r="AI57" s="90"/>
      <c r="AJ57" s="90" t="s">
        <v>117</v>
      </c>
      <c r="AK57" s="34" t="s">
        <v>1122</v>
      </c>
      <c r="AL57" s="35" t="s">
        <v>2292</v>
      </c>
      <c r="AM57" s="35" t="s">
        <v>1118</v>
      </c>
      <c r="AN57" s="34"/>
      <c r="AO57" s="157"/>
      <c r="AP57" s="158" t="s">
        <v>1977</v>
      </c>
      <c r="AQ57" s="158" t="s">
        <v>1978</v>
      </c>
      <c r="AR57" s="158" t="str">
        <f t="shared" si="101"/>
        <v>交通港口水运</v>
      </c>
      <c r="AS57" s="158" t="s">
        <v>1979</v>
      </c>
      <c r="AT57" s="158"/>
      <c r="AU57" s="161"/>
      <c r="AV57" s="161"/>
      <c r="AW57" s="160"/>
      <c r="AX57" s="157"/>
      <c r="AY57" s="157"/>
      <c r="AZ57" s="157"/>
      <c r="BA57" s="157"/>
      <c r="BB57" s="157"/>
      <c r="BC57" s="157"/>
      <c r="BD57" s="157"/>
      <c r="BE57" s="157"/>
      <c r="BF57" s="157" t="s">
        <v>92</v>
      </c>
      <c r="BG57" s="203" t="s">
        <v>1980</v>
      </c>
      <c r="BH57" s="201" t="str">
        <f t="shared" si="102"/>
        <v>企业北部湾港口管理局钦州分局</v>
      </c>
      <c r="BI57" s="201" t="str">
        <f t="shared" si="103"/>
        <v>基础设施北部湾港口管理局钦州分局</v>
      </c>
      <c r="BJ57" s="204">
        <f>IF(N57&gt;0,1,0)</f>
        <v>0</v>
      </c>
      <c r="BK57" s="157" t="str">
        <f>IF(L57&lt;1000,"",AR57&amp;"1000")</f>
        <v>交通港口水运1000</v>
      </c>
      <c r="BL57" s="157" t="str">
        <f>IF(L57&lt;2000,"",AR57&amp;"2000")</f>
        <v>交通港口水运2000</v>
      </c>
      <c r="BM57" s="157" t="str">
        <f>IF(L57&lt;5000,"",AR57&amp;"5000")</f>
        <v>交通港口水运5000</v>
      </c>
      <c r="BN57" s="157"/>
      <c r="BO57" s="157">
        <f t="shared" si="104"/>
        <v>0</v>
      </c>
      <c r="BP57" s="157">
        <f t="shared" si="105"/>
        <v>0</v>
      </c>
      <c r="BQ57" s="157">
        <f t="shared" si="106"/>
        <v>0</v>
      </c>
      <c r="BR57" s="157">
        <f t="shared" si="107"/>
        <v>0</v>
      </c>
      <c r="BS57" s="157">
        <f t="shared" si="108"/>
        <v>0</v>
      </c>
      <c r="BT57" s="181"/>
      <c r="BU57" s="206"/>
      <c r="BW57" s="7"/>
      <c r="BX57" s="7"/>
      <c r="BY57" s="7"/>
      <c r="BZ57" s="7"/>
      <c r="CA57" s="7"/>
    </row>
    <row r="58" s="9" customFormat="1" ht="30" customHeight="1" spans="1:72">
      <c r="A58" s="551"/>
      <c r="B58" s="557" t="str">
        <f>"铁路（"&amp;SUBTOTAL(3,C59:C59)&amp;"个）"</f>
        <v>铁路（1个）</v>
      </c>
      <c r="C58" s="551"/>
      <c r="D58" s="554"/>
      <c r="E58" s="551"/>
      <c r="F58" s="134">
        <f t="shared" ref="F58:M58" si="109">SUBTOTAL(9,F59:F59)</f>
        <v>86000</v>
      </c>
      <c r="G58" s="134">
        <f t="shared" si="109"/>
        <v>15000</v>
      </c>
      <c r="H58" s="134"/>
      <c r="I58" s="134">
        <f t="shared" si="109"/>
        <v>6000</v>
      </c>
      <c r="J58" s="134">
        <f t="shared" si="109"/>
        <v>12000</v>
      </c>
      <c r="K58" s="134">
        <f t="shared" si="109"/>
        <v>22000</v>
      </c>
      <c r="L58" s="134">
        <f t="shared" si="109"/>
        <v>40000</v>
      </c>
      <c r="M58" s="134">
        <f t="shared" si="109"/>
        <v>0</v>
      </c>
      <c r="N58" s="134"/>
      <c r="O58" s="134"/>
      <c r="P58" s="674"/>
      <c r="Q58" s="90"/>
      <c r="R58" s="132"/>
      <c r="S58" s="132"/>
      <c r="T58" s="132"/>
      <c r="U58" s="132"/>
      <c r="V58" s="132"/>
      <c r="W58" s="132"/>
      <c r="X58" s="132"/>
      <c r="Y58" s="132"/>
      <c r="Z58" s="132"/>
      <c r="AA58" s="132"/>
      <c r="AB58" s="132"/>
      <c r="AC58" s="132"/>
      <c r="AD58" s="132"/>
      <c r="AE58" s="132"/>
      <c r="AF58" s="132"/>
      <c r="AG58" s="132"/>
      <c r="AH58" s="132"/>
      <c r="AI58" s="90"/>
      <c r="AJ58" s="90"/>
      <c r="AK58" s="591"/>
      <c r="AL58" s="134"/>
      <c r="AM58" s="134"/>
      <c r="AN58" s="91"/>
      <c r="AO58" s="165"/>
      <c r="AP58" s="158"/>
      <c r="AQ58" s="158"/>
      <c r="AR58" s="158"/>
      <c r="AS58" s="158"/>
      <c r="AT58" s="158"/>
      <c r="AU58" s="165"/>
      <c r="AV58" s="169"/>
      <c r="AW58" s="165"/>
      <c r="AX58" s="165"/>
      <c r="AY58" s="165"/>
      <c r="AZ58" s="165"/>
      <c r="BA58" s="165"/>
      <c r="BB58" s="169"/>
      <c r="BC58" s="169"/>
      <c r="BD58" s="169"/>
      <c r="BE58" s="165"/>
      <c r="BF58" s="157"/>
      <c r="BG58" s="685"/>
      <c r="BK58" s="157"/>
      <c r="BL58" s="157"/>
      <c r="BM58" s="157"/>
      <c r="BN58" s="157"/>
      <c r="BO58" s="157"/>
      <c r="BP58" s="157"/>
      <c r="BQ58" s="157"/>
      <c r="BR58" s="157"/>
      <c r="BS58" s="157"/>
      <c r="BT58" s="181"/>
    </row>
    <row r="59" s="9" customFormat="1" ht="90.75" customHeight="1" spans="1:72">
      <c r="A59" s="23">
        <f>SUBTOTAL(3,C$7:C59)</f>
        <v>38</v>
      </c>
      <c r="B59" s="55" t="s">
        <v>1140</v>
      </c>
      <c r="C59" s="35" t="s">
        <v>562</v>
      </c>
      <c r="D59" s="55" t="s">
        <v>2293</v>
      </c>
      <c r="E59" s="35" t="s">
        <v>575</v>
      </c>
      <c r="F59" s="36">
        <v>86000</v>
      </c>
      <c r="G59" s="38">
        <v>15000</v>
      </c>
      <c r="H59" s="123" t="s">
        <v>2294</v>
      </c>
      <c r="I59" s="67">
        <v>6000</v>
      </c>
      <c r="J59" s="67">
        <v>12000</v>
      </c>
      <c r="K59" s="67">
        <v>22000</v>
      </c>
      <c r="L59" s="38">
        <v>40000</v>
      </c>
      <c r="M59" s="38"/>
      <c r="N59" s="134"/>
      <c r="O59" s="134"/>
      <c r="P59" s="90" t="s">
        <v>2295</v>
      </c>
      <c r="Q59" s="90" t="s">
        <v>2296</v>
      </c>
      <c r="R59" s="132">
        <v>1182</v>
      </c>
      <c r="S59" s="132">
        <v>1052</v>
      </c>
      <c r="T59" s="132">
        <v>130</v>
      </c>
      <c r="U59" s="132"/>
      <c r="V59" s="132"/>
      <c r="W59" s="132"/>
      <c r="X59" s="132">
        <v>130</v>
      </c>
      <c r="Y59" s="132"/>
      <c r="Z59" s="132">
        <v>130</v>
      </c>
      <c r="AA59" s="132"/>
      <c r="AB59" s="132"/>
      <c r="AC59" s="132"/>
      <c r="AD59" s="132">
        <v>30000</v>
      </c>
      <c r="AE59" s="132"/>
      <c r="AF59" s="132">
        <v>30000</v>
      </c>
      <c r="AG59" s="132"/>
      <c r="AH59" s="132"/>
      <c r="AI59" s="90"/>
      <c r="AJ59" s="90" t="s">
        <v>1143</v>
      </c>
      <c r="AK59" s="34" t="s">
        <v>1137</v>
      </c>
      <c r="AL59" s="35" t="s">
        <v>1992</v>
      </c>
      <c r="AM59" s="35" t="s">
        <v>1144</v>
      </c>
      <c r="AN59" s="35" t="s">
        <v>1139</v>
      </c>
      <c r="AO59" s="165"/>
      <c r="AP59" s="158" t="s">
        <v>1993</v>
      </c>
      <c r="AQ59" s="158" t="s">
        <v>1978</v>
      </c>
      <c r="AR59" s="158" t="str">
        <f>AQ59&amp;AP59</f>
        <v>交通铁路</v>
      </c>
      <c r="AS59" s="158" t="str">
        <f>AP59</f>
        <v>铁路</v>
      </c>
      <c r="AT59" s="158"/>
      <c r="AU59" s="165"/>
      <c r="AV59" s="169"/>
      <c r="AW59" s="165"/>
      <c r="AX59" s="165"/>
      <c r="AY59" s="165"/>
      <c r="AZ59" s="165"/>
      <c r="BA59" s="165"/>
      <c r="BB59" s="169"/>
      <c r="BC59" s="169"/>
      <c r="BD59" s="169"/>
      <c r="BE59" s="165"/>
      <c r="BF59" s="201" t="s">
        <v>205</v>
      </c>
      <c r="BG59" s="203" t="s">
        <v>1980</v>
      </c>
      <c r="BH59" s="201" t="str">
        <f>BF59&amp;AM59</f>
        <v>政府市交通运输局、钦州保税港区管委、钦州港区管委</v>
      </c>
      <c r="BI59" s="201" t="str">
        <f>BG59&amp;AM59</f>
        <v>基础设施市交通运输局、钦州保税港区管委、钦州港区管委</v>
      </c>
      <c r="BK59" s="157"/>
      <c r="BL59" s="157"/>
      <c r="BM59" s="157"/>
      <c r="BN59" s="157"/>
      <c r="BO59" s="157">
        <f>IF(R59&gt;0,1,0)</f>
        <v>1</v>
      </c>
      <c r="BP59" s="157">
        <f>IF(X59&gt;0,1,0)</f>
        <v>1</v>
      </c>
      <c r="BQ59" s="157">
        <f>IF(U59&gt;0,1,0)</f>
        <v>0</v>
      </c>
      <c r="BR59" s="157">
        <f>IF(AA59&gt;0,1,0)</f>
        <v>0</v>
      </c>
      <c r="BS59" s="157">
        <f>IF(AD59&gt;0,1,0)</f>
        <v>1</v>
      </c>
      <c r="BT59" s="181"/>
    </row>
    <row r="60" s="9" customFormat="1" ht="30" customHeight="1" spans="1:72">
      <c r="A60" s="551"/>
      <c r="B60" s="557" t="str">
        <f>"公路（"&amp;SUBTOTAL(3,C61:C73)&amp;"个）"</f>
        <v>公路（13个）</v>
      </c>
      <c r="C60" s="551"/>
      <c r="D60" s="554"/>
      <c r="E60" s="551"/>
      <c r="F60" s="134">
        <f t="shared" ref="F60:M60" si="110">SUBTOTAL(9,F61:F73)</f>
        <v>1499603.7</v>
      </c>
      <c r="G60" s="134">
        <f t="shared" si="110"/>
        <v>279940.4</v>
      </c>
      <c r="H60" s="134"/>
      <c r="I60" s="134">
        <f t="shared" si="110"/>
        <v>42600</v>
      </c>
      <c r="J60" s="134">
        <f t="shared" si="110"/>
        <v>123100</v>
      </c>
      <c r="K60" s="134">
        <f t="shared" si="110"/>
        <v>240100</v>
      </c>
      <c r="L60" s="134">
        <f t="shared" si="110"/>
        <v>378565</v>
      </c>
      <c r="M60" s="134">
        <f t="shared" si="110"/>
        <v>0</v>
      </c>
      <c r="N60" s="134"/>
      <c r="O60" s="134"/>
      <c r="P60" s="259"/>
      <c r="Q60" s="90"/>
      <c r="R60" s="132"/>
      <c r="S60" s="132"/>
      <c r="T60" s="132"/>
      <c r="U60" s="132"/>
      <c r="V60" s="132"/>
      <c r="W60" s="132"/>
      <c r="X60" s="132"/>
      <c r="Y60" s="132"/>
      <c r="Z60" s="132"/>
      <c r="AA60" s="132"/>
      <c r="AB60" s="132"/>
      <c r="AC60" s="132"/>
      <c r="AD60" s="132"/>
      <c r="AE60" s="132"/>
      <c r="AF60" s="132"/>
      <c r="AG60" s="132"/>
      <c r="AH60" s="132"/>
      <c r="AI60" s="90"/>
      <c r="AJ60" s="90"/>
      <c r="AK60" s="591"/>
      <c r="AL60" s="134"/>
      <c r="AM60" s="134"/>
      <c r="AN60" s="91"/>
      <c r="AO60" s="165"/>
      <c r="AP60" s="158"/>
      <c r="AQ60" s="158"/>
      <c r="AR60" s="158"/>
      <c r="AS60" s="158"/>
      <c r="AT60" s="158"/>
      <c r="AU60" s="165"/>
      <c r="AV60" s="169"/>
      <c r="AW60" s="165"/>
      <c r="AX60" s="165"/>
      <c r="AY60" s="165"/>
      <c r="AZ60" s="165"/>
      <c r="BA60" s="165"/>
      <c r="BB60" s="169"/>
      <c r="BC60" s="169"/>
      <c r="BD60" s="169"/>
      <c r="BE60" s="165"/>
      <c r="BF60" s="157"/>
      <c r="BG60" s="685"/>
      <c r="BK60" s="157"/>
      <c r="BL60" s="157"/>
      <c r="BM60" s="157"/>
      <c r="BN60" s="157"/>
      <c r="BO60" s="157"/>
      <c r="BP60" s="157"/>
      <c r="BQ60" s="157"/>
      <c r="BR60" s="157"/>
      <c r="BS60" s="157"/>
      <c r="BT60" s="181"/>
    </row>
    <row r="61" ht="109.5" customHeight="1" spans="1:75">
      <c r="A61" s="23">
        <f>SUBTOTAL(3,C$7:C61)</f>
        <v>39</v>
      </c>
      <c r="B61" s="55" t="s">
        <v>945</v>
      </c>
      <c r="C61" s="59" t="s">
        <v>562</v>
      </c>
      <c r="D61" s="55" t="s">
        <v>946</v>
      </c>
      <c r="E61" s="35" t="s">
        <v>575</v>
      </c>
      <c r="F61" s="38">
        <v>948306</v>
      </c>
      <c r="G61" s="38">
        <f>(47320+150000)*0.87</f>
        <v>171668.4</v>
      </c>
      <c r="H61" s="123" t="s">
        <v>947</v>
      </c>
      <c r="I61" s="67">
        <v>30000</v>
      </c>
      <c r="J61" s="67">
        <v>80000</v>
      </c>
      <c r="K61" s="67">
        <v>160000</v>
      </c>
      <c r="L61" s="38">
        <f>300000*0.87</f>
        <v>261000</v>
      </c>
      <c r="M61" s="38"/>
      <c r="N61" s="111"/>
      <c r="O61" s="67"/>
      <c r="P61" s="259" t="s">
        <v>2297</v>
      </c>
      <c r="Q61" s="90" t="s">
        <v>2298</v>
      </c>
      <c r="R61" s="132">
        <v>12202.6</v>
      </c>
      <c r="S61" s="132"/>
      <c r="T61" s="132">
        <v>12202.6</v>
      </c>
      <c r="U61" s="132">
        <v>5861.0535</v>
      </c>
      <c r="V61" s="132">
        <v>5861.0535</v>
      </c>
      <c r="W61" s="132"/>
      <c r="X61" s="132"/>
      <c r="Y61" s="132"/>
      <c r="Z61" s="132"/>
      <c r="AA61" s="132">
        <v>12202.6</v>
      </c>
      <c r="AB61" s="132">
        <v>10835</v>
      </c>
      <c r="AC61" s="132">
        <v>1368</v>
      </c>
      <c r="AD61" s="132"/>
      <c r="AE61" s="132"/>
      <c r="AF61" s="132"/>
      <c r="AG61" s="132"/>
      <c r="AH61" s="132"/>
      <c r="AI61" s="90"/>
      <c r="AJ61" s="90" t="s">
        <v>948</v>
      </c>
      <c r="AK61" s="34" t="s">
        <v>949</v>
      </c>
      <c r="AL61" s="35" t="s">
        <v>2299</v>
      </c>
      <c r="AM61" s="35" t="s">
        <v>950</v>
      </c>
      <c r="AN61" s="91"/>
      <c r="AO61" s="157"/>
      <c r="AP61" s="158" t="s">
        <v>1997</v>
      </c>
      <c r="AQ61" s="158" t="s">
        <v>1978</v>
      </c>
      <c r="AR61" s="158" t="str">
        <f t="shared" ref="AR61:AR73" si="111">AQ61&amp;AP61</f>
        <v>交通公路</v>
      </c>
      <c r="AS61" s="158" t="str">
        <f t="shared" ref="AS61:AS73" si="112">AP61</f>
        <v>公路</v>
      </c>
      <c r="AT61" s="158"/>
      <c r="AU61" s="161"/>
      <c r="AV61" s="161"/>
      <c r="AW61" s="160"/>
      <c r="AX61" s="157"/>
      <c r="AY61" s="157"/>
      <c r="AZ61" s="157"/>
      <c r="BA61" s="157"/>
      <c r="BB61" s="157"/>
      <c r="BC61" s="157"/>
      <c r="BD61" s="157"/>
      <c r="BE61" s="157"/>
      <c r="BF61" s="202" t="s">
        <v>205</v>
      </c>
      <c r="BG61" s="203" t="s">
        <v>1980</v>
      </c>
      <c r="BH61" s="201" t="str">
        <f t="shared" ref="BH61:BH73" si="113">BF61&amp;AM61</f>
        <v>政府市交通运输局</v>
      </c>
      <c r="BI61" s="201" t="str">
        <f t="shared" ref="BI61:BI73" si="114">BG61&amp;AM61</f>
        <v>基础设施市交通运输局</v>
      </c>
      <c r="BJ61" s="204">
        <f t="shared" ref="BJ61:BJ66" si="115">IF(N61&gt;0,1,0)</f>
        <v>0</v>
      </c>
      <c r="BK61" s="157" t="str">
        <f t="shared" ref="BK61:BK66" si="116">IF(L61&lt;1000,"",AR61&amp;"1000")</f>
        <v>交通公路1000</v>
      </c>
      <c r="BL61" s="157" t="str">
        <f t="shared" ref="BL61:BL66" si="117">IF(L61&lt;2000,"",AR61&amp;"2000")</f>
        <v>交通公路2000</v>
      </c>
      <c r="BM61" s="157" t="str">
        <f t="shared" ref="BM61:BM66" si="118">IF(L61&lt;5000,"",AR61&amp;"5000")</f>
        <v>交通公路5000</v>
      </c>
      <c r="BN61" s="157"/>
      <c r="BO61" s="157">
        <f t="shared" ref="BO61:BO73" si="119">IF(R61&gt;0,1,0)</f>
        <v>1</v>
      </c>
      <c r="BP61" s="157">
        <f t="shared" ref="BP61:BP73" si="120">IF(X61&gt;0,1,0)</f>
        <v>0</v>
      </c>
      <c r="BQ61" s="157">
        <f t="shared" ref="BQ61:BQ73" si="121">IF(U61&gt;0,1,0)</f>
        <v>1</v>
      </c>
      <c r="BR61" s="157">
        <f t="shared" ref="BR61:BR73" si="122">IF(AA61&gt;0,1,0)</f>
        <v>1</v>
      </c>
      <c r="BS61" s="157">
        <f t="shared" ref="BS61:BS73" si="123">IF(AD61&gt;0,1,0)</f>
        <v>0</v>
      </c>
      <c r="BT61" s="181"/>
      <c r="BU61" s="206"/>
      <c r="BW61" s="7" t="s">
        <v>1890</v>
      </c>
    </row>
    <row r="62" ht="69" customHeight="1" spans="1:76">
      <c r="A62" s="23">
        <f>SUBTOTAL(3,C$7:C62)</f>
        <v>40</v>
      </c>
      <c r="B62" s="55" t="s">
        <v>1156</v>
      </c>
      <c r="C62" s="59" t="s">
        <v>562</v>
      </c>
      <c r="D62" s="55" t="s">
        <v>1157</v>
      </c>
      <c r="E62" s="35" t="s">
        <v>575</v>
      </c>
      <c r="F62" s="38">
        <v>63600</v>
      </c>
      <c r="G62" s="38">
        <v>25000</v>
      </c>
      <c r="H62" s="123" t="s">
        <v>2300</v>
      </c>
      <c r="I62" s="67">
        <v>1000</v>
      </c>
      <c r="J62" s="67">
        <v>5000</v>
      </c>
      <c r="K62" s="67">
        <v>9000</v>
      </c>
      <c r="L62" s="38">
        <v>10000</v>
      </c>
      <c r="M62" s="38"/>
      <c r="N62" s="111"/>
      <c r="O62" s="67"/>
      <c r="P62" s="259" t="s">
        <v>2301</v>
      </c>
      <c r="Q62" s="90" t="s">
        <v>2302</v>
      </c>
      <c r="R62" s="132">
        <v>1615</v>
      </c>
      <c r="S62" s="132">
        <v>1615</v>
      </c>
      <c r="T62" s="132"/>
      <c r="U62" s="132">
        <v>476.9</v>
      </c>
      <c r="V62" s="132">
        <v>476.9</v>
      </c>
      <c r="W62" s="132"/>
      <c r="X62" s="132"/>
      <c r="Y62" s="132"/>
      <c r="Z62" s="132"/>
      <c r="AA62" s="132">
        <v>1615</v>
      </c>
      <c r="AB62" s="132">
        <v>1162</v>
      </c>
      <c r="AC62" s="132">
        <v>453</v>
      </c>
      <c r="AD62" s="132">
        <v>5000</v>
      </c>
      <c r="AE62" s="132"/>
      <c r="AF62" s="132"/>
      <c r="AG62" s="132"/>
      <c r="AH62" s="132">
        <v>5000</v>
      </c>
      <c r="AI62" s="90"/>
      <c r="AJ62" s="90" t="s">
        <v>1159</v>
      </c>
      <c r="AK62" s="34" t="s">
        <v>1160</v>
      </c>
      <c r="AL62" s="35" t="s">
        <v>2303</v>
      </c>
      <c r="AM62" s="35" t="s">
        <v>950</v>
      </c>
      <c r="AN62" s="34"/>
      <c r="AO62" s="157"/>
      <c r="AP62" s="158" t="s">
        <v>1997</v>
      </c>
      <c r="AQ62" s="158" t="s">
        <v>1978</v>
      </c>
      <c r="AR62" s="158" t="str">
        <f t="shared" si="111"/>
        <v>交通公路</v>
      </c>
      <c r="AS62" s="158" t="str">
        <f t="shared" si="112"/>
        <v>公路</v>
      </c>
      <c r="AT62" s="158"/>
      <c r="AU62" s="157"/>
      <c r="AV62" s="159"/>
      <c r="AW62" s="160"/>
      <c r="AX62" s="157"/>
      <c r="AY62" s="157"/>
      <c r="AZ62" s="157"/>
      <c r="BA62" s="157"/>
      <c r="BB62" s="157"/>
      <c r="BC62" s="157"/>
      <c r="BD62" s="157"/>
      <c r="BE62" s="157"/>
      <c r="BF62" s="202" t="s">
        <v>205</v>
      </c>
      <c r="BG62" s="203" t="s">
        <v>1980</v>
      </c>
      <c r="BH62" s="201" t="str">
        <f t="shared" si="113"/>
        <v>政府市交通运输局</v>
      </c>
      <c r="BI62" s="201" t="str">
        <f t="shared" si="114"/>
        <v>基础设施市交通运输局</v>
      </c>
      <c r="BJ62" s="204">
        <f t="shared" si="115"/>
        <v>0</v>
      </c>
      <c r="BK62" s="157" t="str">
        <f t="shared" si="116"/>
        <v>交通公路1000</v>
      </c>
      <c r="BL62" s="157" t="str">
        <f t="shared" si="117"/>
        <v>交通公路2000</v>
      </c>
      <c r="BM62" s="157" t="str">
        <f t="shared" si="118"/>
        <v>交通公路5000</v>
      </c>
      <c r="BN62" s="157"/>
      <c r="BO62" s="157">
        <f t="shared" si="119"/>
        <v>1</v>
      </c>
      <c r="BP62" s="157">
        <f t="shared" si="120"/>
        <v>0</v>
      </c>
      <c r="BQ62" s="157">
        <f t="shared" si="121"/>
        <v>1</v>
      </c>
      <c r="BR62" s="157">
        <f t="shared" si="122"/>
        <v>1</v>
      </c>
      <c r="BS62" s="157">
        <f t="shared" si="123"/>
        <v>1</v>
      </c>
      <c r="BT62" s="181"/>
      <c r="BU62" s="206"/>
      <c r="BX62" s="206"/>
    </row>
    <row r="63" ht="84.95" customHeight="1" spans="1:73">
      <c r="A63" s="23">
        <f>SUBTOTAL(3,C$7:C63)</f>
        <v>41</v>
      </c>
      <c r="B63" s="671" t="s">
        <v>964</v>
      </c>
      <c r="C63" s="35" t="s">
        <v>562</v>
      </c>
      <c r="D63" s="55" t="s">
        <v>965</v>
      </c>
      <c r="E63" s="35" t="s">
        <v>575</v>
      </c>
      <c r="F63" s="38">
        <v>50926.7</v>
      </c>
      <c r="G63" s="38">
        <v>15862</v>
      </c>
      <c r="H63" s="123" t="s">
        <v>966</v>
      </c>
      <c r="I63" s="67">
        <v>2000</v>
      </c>
      <c r="J63" s="67">
        <v>8000</v>
      </c>
      <c r="K63" s="67">
        <v>13000</v>
      </c>
      <c r="L63" s="67">
        <v>18000</v>
      </c>
      <c r="M63" s="67"/>
      <c r="N63" s="111"/>
      <c r="O63" s="67"/>
      <c r="P63" s="259" t="s">
        <v>2304</v>
      </c>
      <c r="Q63" s="90" t="s">
        <v>2305</v>
      </c>
      <c r="R63" s="132">
        <v>1505</v>
      </c>
      <c r="S63" s="132">
        <v>1380</v>
      </c>
      <c r="T63" s="132">
        <f>R63-S63</f>
        <v>125</v>
      </c>
      <c r="U63" s="132">
        <v>436</v>
      </c>
      <c r="V63" s="132">
        <v>398</v>
      </c>
      <c r="W63" s="132">
        <f>U63-V63</f>
        <v>38</v>
      </c>
      <c r="X63" s="132"/>
      <c r="Y63" s="132"/>
      <c r="Z63" s="132"/>
      <c r="AA63" s="132">
        <v>4.5</v>
      </c>
      <c r="AB63" s="132"/>
      <c r="AC63" s="132">
        <v>5</v>
      </c>
      <c r="AD63" s="132">
        <v>10000</v>
      </c>
      <c r="AE63" s="132"/>
      <c r="AF63" s="132"/>
      <c r="AG63" s="132"/>
      <c r="AH63" s="132">
        <v>10000</v>
      </c>
      <c r="AI63" s="90"/>
      <c r="AJ63" s="259" t="s">
        <v>967</v>
      </c>
      <c r="AK63" s="34" t="s">
        <v>968</v>
      </c>
      <c r="AL63" s="35" t="s">
        <v>2306</v>
      </c>
      <c r="AM63" s="35" t="s">
        <v>950</v>
      </c>
      <c r="AN63" s="91"/>
      <c r="AO63" s="157"/>
      <c r="AP63" s="158" t="s">
        <v>1997</v>
      </c>
      <c r="AQ63" s="158" t="s">
        <v>1978</v>
      </c>
      <c r="AR63" s="158" t="str">
        <f t="shared" si="111"/>
        <v>交通公路</v>
      </c>
      <c r="AS63" s="158" t="str">
        <f t="shared" si="112"/>
        <v>公路</v>
      </c>
      <c r="AT63" s="158"/>
      <c r="AU63" s="161"/>
      <c r="AV63" s="161"/>
      <c r="AW63" s="160"/>
      <c r="AX63" s="157"/>
      <c r="AY63" s="157"/>
      <c r="AZ63" s="157"/>
      <c r="BA63" s="157"/>
      <c r="BB63" s="157"/>
      <c r="BC63" s="157"/>
      <c r="BD63" s="157"/>
      <c r="BE63" s="157"/>
      <c r="BF63" s="202" t="s">
        <v>205</v>
      </c>
      <c r="BG63" s="203" t="s">
        <v>1980</v>
      </c>
      <c r="BH63" s="201" t="str">
        <f t="shared" si="113"/>
        <v>政府市交通运输局</v>
      </c>
      <c r="BI63" s="201" t="str">
        <f t="shared" si="114"/>
        <v>基础设施市交通运输局</v>
      </c>
      <c r="BJ63" s="204">
        <f t="shared" si="115"/>
        <v>0</v>
      </c>
      <c r="BK63" s="157" t="str">
        <f t="shared" si="116"/>
        <v>交通公路1000</v>
      </c>
      <c r="BL63" s="157" t="str">
        <f t="shared" si="117"/>
        <v>交通公路2000</v>
      </c>
      <c r="BM63" s="157" t="str">
        <f t="shared" si="118"/>
        <v>交通公路5000</v>
      </c>
      <c r="BN63" s="157"/>
      <c r="BO63" s="157">
        <f t="shared" si="119"/>
        <v>1</v>
      </c>
      <c r="BP63" s="157">
        <f t="shared" si="120"/>
        <v>0</v>
      </c>
      <c r="BQ63" s="157">
        <f t="shared" si="121"/>
        <v>1</v>
      </c>
      <c r="BR63" s="157">
        <f t="shared" si="122"/>
        <v>1</v>
      </c>
      <c r="BS63" s="157">
        <f t="shared" si="123"/>
        <v>1</v>
      </c>
      <c r="BT63" s="181"/>
      <c r="BU63" s="206"/>
    </row>
    <row r="64" ht="110.25" customHeight="1" spans="1:73">
      <c r="A64" s="23">
        <f>SUBTOTAL(3,C$7:C64)</f>
        <v>42</v>
      </c>
      <c r="B64" s="671" t="s">
        <v>959</v>
      </c>
      <c r="C64" s="35" t="s">
        <v>562</v>
      </c>
      <c r="D64" s="672" t="s">
        <v>960</v>
      </c>
      <c r="E64" s="35" t="s">
        <v>604</v>
      </c>
      <c r="F64" s="38">
        <v>105943</v>
      </c>
      <c r="G64" s="38">
        <v>10000</v>
      </c>
      <c r="H64" s="123" t="s">
        <v>2307</v>
      </c>
      <c r="I64" s="67">
        <v>2000</v>
      </c>
      <c r="J64" s="67">
        <v>7000</v>
      </c>
      <c r="K64" s="67">
        <v>11000</v>
      </c>
      <c r="L64" s="38">
        <v>19000</v>
      </c>
      <c r="M64" s="38"/>
      <c r="N64" s="111"/>
      <c r="O64" s="67"/>
      <c r="P64" s="259" t="s">
        <v>2308</v>
      </c>
      <c r="Q64" s="90" t="s">
        <v>2309</v>
      </c>
      <c r="R64" s="132">
        <v>4709.982</v>
      </c>
      <c r="S64" s="132"/>
      <c r="T64" s="132">
        <v>4710</v>
      </c>
      <c r="U64" s="132">
        <v>1644.147</v>
      </c>
      <c r="V64" s="132"/>
      <c r="W64" s="132">
        <v>1644</v>
      </c>
      <c r="X64" s="132"/>
      <c r="Y64" s="132"/>
      <c r="Z64" s="132"/>
      <c r="AA64" s="132">
        <v>4224.274</v>
      </c>
      <c r="AB64" s="132">
        <v>1300.66</v>
      </c>
      <c r="AC64" s="132">
        <v>2923.614</v>
      </c>
      <c r="AD64" s="132">
        <v>19000</v>
      </c>
      <c r="AE64" s="132"/>
      <c r="AF64" s="132">
        <v>3000</v>
      </c>
      <c r="AG64" s="132"/>
      <c r="AH64" s="132">
        <v>16000</v>
      </c>
      <c r="AI64" s="90"/>
      <c r="AJ64" s="259" t="s">
        <v>2310</v>
      </c>
      <c r="AK64" s="34" t="s">
        <v>2311</v>
      </c>
      <c r="AL64" s="35" t="s">
        <v>2312</v>
      </c>
      <c r="AM64" s="35" t="s">
        <v>950</v>
      </c>
      <c r="AN64" s="91"/>
      <c r="AO64" s="157"/>
      <c r="AP64" s="158" t="s">
        <v>1997</v>
      </c>
      <c r="AQ64" s="158" t="s">
        <v>1978</v>
      </c>
      <c r="AR64" s="158" t="str">
        <f t="shared" si="111"/>
        <v>交通公路</v>
      </c>
      <c r="AS64" s="158" t="str">
        <f t="shared" si="112"/>
        <v>公路</v>
      </c>
      <c r="AT64" s="158"/>
      <c r="AU64" s="161"/>
      <c r="AV64" s="161"/>
      <c r="AW64" s="160"/>
      <c r="AX64" s="157"/>
      <c r="AY64" s="157"/>
      <c r="AZ64" s="157"/>
      <c r="BA64" s="157"/>
      <c r="BB64" s="157"/>
      <c r="BC64" s="157"/>
      <c r="BD64" s="157"/>
      <c r="BE64" s="157"/>
      <c r="BF64" s="202" t="s">
        <v>205</v>
      </c>
      <c r="BG64" s="203" t="s">
        <v>1980</v>
      </c>
      <c r="BH64" s="201" t="str">
        <f t="shared" si="113"/>
        <v>政府市交通运输局</v>
      </c>
      <c r="BI64" s="201" t="str">
        <f t="shared" si="114"/>
        <v>基础设施市交通运输局</v>
      </c>
      <c r="BJ64" s="204">
        <f t="shared" si="115"/>
        <v>0</v>
      </c>
      <c r="BK64" s="157" t="str">
        <f t="shared" si="116"/>
        <v>交通公路1000</v>
      </c>
      <c r="BL64" s="157" t="str">
        <f t="shared" si="117"/>
        <v>交通公路2000</v>
      </c>
      <c r="BM64" s="157" t="str">
        <f t="shared" si="118"/>
        <v>交通公路5000</v>
      </c>
      <c r="BN64" s="157"/>
      <c r="BO64" s="157">
        <f t="shared" si="119"/>
        <v>1</v>
      </c>
      <c r="BP64" s="157">
        <f t="shared" si="120"/>
        <v>0</v>
      </c>
      <c r="BQ64" s="157">
        <f t="shared" si="121"/>
        <v>1</v>
      </c>
      <c r="BR64" s="157">
        <f t="shared" si="122"/>
        <v>1</v>
      </c>
      <c r="BS64" s="157">
        <f t="shared" si="123"/>
        <v>1</v>
      </c>
      <c r="BT64" s="181"/>
      <c r="BU64" s="206"/>
    </row>
    <row r="65" ht="69.75" customHeight="1" spans="1:75">
      <c r="A65" s="23">
        <f>SUBTOTAL(3,C$7:C65)</f>
        <v>43</v>
      </c>
      <c r="B65" s="55" t="s">
        <v>951</v>
      </c>
      <c r="C65" s="59" t="s">
        <v>562</v>
      </c>
      <c r="D65" s="55" t="s">
        <v>952</v>
      </c>
      <c r="E65" s="35" t="s">
        <v>575</v>
      </c>
      <c r="F65" s="38">
        <v>139460</v>
      </c>
      <c r="G65" s="38">
        <v>11000</v>
      </c>
      <c r="H65" s="123" t="s">
        <v>2307</v>
      </c>
      <c r="I65" s="67">
        <v>1000</v>
      </c>
      <c r="J65" s="67">
        <v>5000</v>
      </c>
      <c r="K65" s="67">
        <v>17000</v>
      </c>
      <c r="L65" s="38">
        <v>27000</v>
      </c>
      <c r="M65" s="38"/>
      <c r="N65" s="111"/>
      <c r="O65" s="67"/>
      <c r="P65" s="259" t="s">
        <v>954</v>
      </c>
      <c r="Q65" s="90" t="s">
        <v>955</v>
      </c>
      <c r="R65" s="132">
        <v>2030</v>
      </c>
      <c r="S65" s="132"/>
      <c r="T65" s="132">
        <v>2030</v>
      </c>
      <c r="U65" s="132">
        <v>613.6</v>
      </c>
      <c r="V65" s="132">
        <v>564</v>
      </c>
      <c r="W65" s="132">
        <v>50</v>
      </c>
      <c r="X65" s="132"/>
      <c r="Y65" s="132"/>
      <c r="Z65" s="132"/>
      <c r="AA65" s="132">
        <v>1809</v>
      </c>
      <c r="AB65" s="132">
        <v>1559</v>
      </c>
      <c r="AC65" s="132">
        <v>250</v>
      </c>
      <c r="AD65" s="132">
        <v>27000</v>
      </c>
      <c r="AE65" s="132"/>
      <c r="AF65" s="132">
        <v>4000</v>
      </c>
      <c r="AG65" s="132"/>
      <c r="AH65" s="132">
        <v>23000</v>
      </c>
      <c r="AI65" s="90"/>
      <c r="AJ65" s="55" t="s">
        <v>956</v>
      </c>
      <c r="AK65" s="34" t="s">
        <v>957</v>
      </c>
      <c r="AL65" s="35" t="s">
        <v>2313</v>
      </c>
      <c r="AM65" s="35" t="s">
        <v>950</v>
      </c>
      <c r="AN65" s="91"/>
      <c r="AO65" s="157"/>
      <c r="AP65" s="158" t="s">
        <v>1997</v>
      </c>
      <c r="AQ65" s="158" t="s">
        <v>1978</v>
      </c>
      <c r="AR65" s="158" t="str">
        <f t="shared" si="111"/>
        <v>交通公路</v>
      </c>
      <c r="AS65" s="158" t="str">
        <f t="shared" si="112"/>
        <v>公路</v>
      </c>
      <c r="AT65" s="158"/>
      <c r="AU65" s="161"/>
      <c r="AV65" s="161"/>
      <c r="AW65" s="160"/>
      <c r="AX65" s="157"/>
      <c r="AY65" s="157"/>
      <c r="AZ65" s="157"/>
      <c r="BA65" s="157"/>
      <c r="BB65" s="157"/>
      <c r="BC65" s="157"/>
      <c r="BD65" s="157"/>
      <c r="BE65" s="157"/>
      <c r="BF65" s="202" t="s">
        <v>205</v>
      </c>
      <c r="BG65" s="203" t="s">
        <v>1980</v>
      </c>
      <c r="BH65" s="201" t="str">
        <f t="shared" si="113"/>
        <v>政府市交通运输局</v>
      </c>
      <c r="BI65" s="201" t="str">
        <f t="shared" si="114"/>
        <v>基础设施市交通运输局</v>
      </c>
      <c r="BJ65" s="204">
        <f t="shared" si="115"/>
        <v>0</v>
      </c>
      <c r="BK65" s="157" t="str">
        <f t="shared" si="116"/>
        <v>交通公路1000</v>
      </c>
      <c r="BL65" s="157" t="str">
        <f t="shared" si="117"/>
        <v>交通公路2000</v>
      </c>
      <c r="BM65" s="157" t="str">
        <f t="shared" si="118"/>
        <v>交通公路5000</v>
      </c>
      <c r="BN65" s="157"/>
      <c r="BO65" s="157">
        <f t="shared" si="119"/>
        <v>1</v>
      </c>
      <c r="BP65" s="157">
        <f t="shared" si="120"/>
        <v>0</v>
      </c>
      <c r="BQ65" s="157">
        <f t="shared" si="121"/>
        <v>1</v>
      </c>
      <c r="BR65" s="157">
        <f t="shared" si="122"/>
        <v>1</v>
      </c>
      <c r="BS65" s="157">
        <f t="shared" si="123"/>
        <v>1</v>
      </c>
      <c r="BT65" s="181"/>
      <c r="BU65" s="206"/>
      <c r="BW65" s="7" t="s">
        <v>1890</v>
      </c>
    </row>
    <row r="66" ht="92.25" customHeight="1" spans="1:73">
      <c r="A66" s="23">
        <f>SUBTOTAL(3,C$7:C66)</f>
        <v>44</v>
      </c>
      <c r="B66" s="55" t="s">
        <v>1161</v>
      </c>
      <c r="C66" s="35" t="s">
        <v>562</v>
      </c>
      <c r="D66" s="55" t="s">
        <v>1162</v>
      </c>
      <c r="E66" s="35" t="s">
        <v>588</v>
      </c>
      <c r="F66" s="38">
        <v>53730</v>
      </c>
      <c r="G66" s="38">
        <v>14161</v>
      </c>
      <c r="H66" s="123" t="s">
        <v>1163</v>
      </c>
      <c r="I66" s="67">
        <v>1000</v>
      </c>
      <c r="J66" s="67">
        <v>5000</v>
      </c>
      <c r="K66" s="67">
        <v>9000</v>
      </c>
      <c r="L66" s="38">
        <v>15000</v>
      </c>
      <c r="M66" s="38"/>
      <c r="N66" s="111"/>
      <c r="O66" s="67"/>
      <c r="P66" s="90" t="s">
        <v>1164</v>
      </c>
      <c r="Q66" s="90" t="s">
        <v>1165</v>
      </c>
      <c r="R66" s="132">
        <v>928</v>
      </c>
      <c r="S66" s="132"/>
      <c r="T66" s="132">
        <v>928</v>
      </c>
      <c r="U66" s="132">
        <v>323</v>
      </c>
      <c r="V66" s="132">
        <v>320</v>
      </c>
      <c r="W66" s="132">
        <v>3</v>
      </c>
      <c r="X66" s="132"/>
      <c r="Y66" s="132"/>
      <c r="Z66" s="132"/>
      <c r="AA66" s="132">
        <v>601</v>
      </c>
      <c r="AB66" s="132">
        <v>578</v>
      </c>
      <c r="AC66" s="132">
        <v>23</v>
      </c>
      <c r="AD66" s="132">
        <v>15000</v>
      </c>
      <c r="AE66" s="132"/>
      <c r="AF66" s="132"/>
      <c r="AG66" s="132"/>
      <c r="AH66" s="132">
        <v>15000</v>
      </c>
      <c r="AI66" s="90"/>
      <c r="AJ66" s="90" t="s">
        <v>1166</v>
      </c>
      <c r="AK66" s="34" t="s">
        <v>455</v>
      </c>
      <c r="AL66" s="35" t="s">
        <v>2314</v>
      </c>
      <c r="AM66" s="35" t="s">
        <v>950</v>
      </c>
      <c r="AN66" s="91"/>
      <c r="AO66" s="157"/>
      <c r="AP66" s="158" t="s">
        <v>1997</v>
      </c>
      <c r="AQ66" s="158" t="s">
        <v>1978</v>
      </c>
      <c r="AR66" s="158" t="str">
        <f t="shared" si="111"/>
        <v>交通公路</v>
      </c>
      <c r="AS66" s="158" t="str">
        <f t="shared" si="112"/>
        <v>公路</v>
      </c>
      <c r="AT66" s="158"/>
      <c r="AU66" s="161"/>
      <c r="AV66" s="161"/>
      <c r="AW66" s="160"/>
      <c r="AX66" s="157"/>
      <c r="AY66" s="157"/>
      <c r="AZ66" s="157"/>
      <c r="BA66" s="157"/>
      <c r="BB66" s="157"/>
      <c r="BC66" s="157"/>
      <c r="BD66" s="157"/>
      <c r="BE66" s="157"/>
      <c r="BF66" s="202" t="s">
        <v>205</v>
      </c>
      <c r="BG66" s="203" t="s">
        <v>1980</v>
      </c>
      <c r="BH66" s="201" t="str">
        <f t="shared" si="113"/>
        <v>政府市交通运输局</v>
      </c>
      <c r="BI66" s="201" t="str">
        <f t="shared" si="114"/>
        <v>基础设施市交通运输局</v>
      </c>
      <c r="BJ66" s="204">
        <f t="shared" si="115"/>
        <v>0</v>
      </c>
      <c r="BK66" s="157" t="str">
        <f t="shared" si="116"/>
        <v>交通公路1000</v>
      </c>
      <c r="BL66" s="157" t="str">
        <f t="shared" si="117"/>
        <v>交通公路2000</v>
      </c>
      <c r="BM66" s="157" t="str">
        <f t="shared" si="118"/>
        <v>交通公路5000</v>
      </c>
      <c r="BN66" s="157"/>
      <c r="BO66" s="157">
        <f t="shared" si="119"/>
        <v>1</v>
      </c>
      <c r="BP66" s="157">
        <f t="shared" si="120"/>
        <v>0</v>
      </c>
      <c r="BQ66" s="157">
        <f t="shared" si="121"/>
        <v>1</v>
      </c>
      <c r="BR66" s="157">
        <f t="shared" si="122"/>
        <v>1</v>
      </c>
      <c r="BS66" s="157">
        <f t="shared" si="123"/>
        <v>1</v>
      </c>
      <c r="BT66" s="181"/>
      <c r="BU66" s="206"/>
    </row>
    <row r="67" ht="78.75" customHeight="1" spans="1:79">
      <c r="A67" s="23">
        <f>SUBTOTAL(3,C$7:C67)</f>
        <v>45</v>
      </c>
      <c r="B67" s="55" t="s">
        <v>1207</v>
      </c>
      <c r="C67" s="35" t="s">
        <v>562</v>
      </c>
      <c r="D67" s="55" t="s">
        <v>1208</v>
      </c>
      <c r="E67" s="35" t="s">
        <v>575</v>
      </c>
      <c r="F67" s="38">
        <v>3077</v>
      </c>
      <c r="G67" s="38">
        <v>339</v>
      </c>
      <c r="H67" s="123" t="s">
        <v>2315</v>
      </c>
      <c r="I67" s="36">
        <v>500</v>
      </c>
      <c r="J67" s="36">
        <v>1000</v>
      </c>
      <c r="K67" s="36">
        <v>1500</v>
      </c>
      <c r="L67" s="38">
        <v>2065</v>
      </c>
      <c r="M67" s="38"/>
      <c r="N67" s="111"/>
      <c r="O67" s="67"/>
      <c r="P67" s="259" t="s">
        <v>2316</v>
      </c>
      <c r="Q67" s="90" t="s">
        <v>117</v>
      </c>
      <c r="R67" s="132">
        <v>247</v>
      </c>
      <c r="S67" s="132"/>
      <c r="T67" s="132">
        <v>247</v>
      </c>
      <c r="U67" s="132">
        <v>153</v>
      </c>
      <c r="V67" s="132"/>
      <c r="W67" s="132">
        <v>153</v>
      </c>
      <c r="X67" s="132"/>
      <c r="Y67" s="132"/>
      <c r="Z67" s="132"/>
      <c r="AA67" s="132"/>
      <c r="AB67" s="132"/>
      <c r="AC67" s="132"/>
      <c r="AD67" s="132">
        <v>2000</v>
      </c>
      <c r="AE67" s="132"/>
      <c r="AF67" s="132"/>
      <c r="AG67" s="132"/>
      <c r="AH67" s="132">
        <v>2000</v>
      </c>
      <c r="AI67" s="90"/>
      <c r="AJ67" s="90" t="s">
        <v>1210</v>
      </c>
      <c r="AK67" s="86" t="s">
        <v>1199</v>
      </c>
      <c r="AL67" s="35" t="s">
        <v>2000</v>
      </c>
      <c r="AM67" s="35" t="s">
        <v>359</v>
      </c>
      <c r="AN67" s="91"/>
      <c r="AO67" s="157"/>
      <c r="AP67" s="158" t="s">
        <v>1997</v>
      </c>
      <c r="AQ67" s="158" t="s">
        <v>1978</v>
      </c>
      <c r="AR67" s="158" t="str">
        <f t="shared" si="111"/>
        <v>交通公路</v>
      </c>
      <c r="AS67" s="158" t="str">
        <f t="shared" si="112"/>
        <v>公路</v>
      </c>
      <c r="AT67" s="158"/>
      <c r="AU67" s="161"/>
      <c r="AV67" s="161"/>
      <c r="AW67" s="160"/>
      <c r="AX67" s="157"/>
      <c r="AY67" s="157"/>
      <c r="AZ67" s="157"/>
      <c r="BA67" s="157"/>
      <c r="BB67" s="157"/>
      <c r="BC67" s="157"/>
      <c r="BD67" s="157"/>
      <c r="BE67" s="157"/>
      <c r="BF67" s="202" t="s">
        <v>205</v>
      </c>
      <c r="BG67" s="203" t="s">
        <v>1980</v>
      </c>
      <c r="BH67" s="201" t="str">
        <f t="shared" si="113"/>
        <v>政府钦南区人民政府</v>
      </c>
      <c r="BI67" s="201" t="str">
        <f t="shared" si="114"/>
        <v>基础设施钦南区人民政府</v>
      </c>
      <c r="BJ67" s="204">
        <f t="shared" ref="BJ67:BJ73" si="124">IF(N67&gt;0,1,0)</f>
        <v>0</v>
      </c>
      <c r="BK67" s="157" t="str">
        <f t="shared" ref="BK67:BK73" si="125">IF(L67&lt;1000,"",AR67&amp;"1000")</f>
        <v>交通公路1000</v>
      </c>
      <c r="BL67" s="157" t="str">
        <f t="shared" ref="BL67:BL73" si="126">IF(L67&lt;2000,"",AR67&amp;"2000")</f>
        <v>交通公路2000</v>
      </c>
      <c r="BM67" s="157" t="str">
        <f t="shared" ref="BM67:BM73" si="127">IF(L67&lt;5000,"",AR67&amp;"5000")</f>
        <v/>
      </c>
      <c r="BN67" s="157"/>
      <c r="BO67" s="157">
        <f t="shared" si="119"/>
        <v>1</v>
      </c>
      <c r="BP67" s="157">
        <f t="shared" si="120"/>
        <v>0</v>
      </c>
      <c r="BQ67" s="157">
        <f t="shared" si="121"/>
        <v>1</v>
      </c>
      <c r="BR67" s="157">
        <f t="shared" si="122"/>
        <v>0</v>
      </c>
      <c r="BS67" s="157">
        <f t="shared" si="123"/>
        <v>1</v>
      </c>
      <c r="BT67" s="181"/>
      <c r="BU67" s="206"/>
      <c r="BW67" s="7"/>
      <c r="BX67" s="7"/>
      <c r="BY67" s="7"/>
      <c r="BZ67" s="7"/>
      <c r="CA67" s="7"/>
    </row>
    <row r="68" ht="66.75" customHeight="1" spans="1:76">
      <c r="A68" s="23">
        <f>SUBTOTAL(3,C$7:C68)</f>
        <v>46</v>
      </c>
      <c r="B68" s="55" t="s">
        <v>1216</v>
      </c>
      <c r="C68" s="35" t="s">
        <v>562</v>
      </c>
      <c r="D68" s="55" t="s">
        <v>1217</v>
      </c>
      <c r="E68" s="35" t="s">
        <v>564</v>
      </c>
      <c r="F68" s="38">
        <v>22496</v>
      </c>
      <c r="G68" s="38">
        <v>7500</v>
      </c>
      <c r="H68" s="112" t="s">
        <v>1218</v>
      </c>
      <c r="I68" s="36">
        <v>1000</v>
      </c>
      <c r="J68" s="36">
        <v>2200</v>
      </c>
      <c r="K68" s="36">
        <v>3300</v>
      </c>
      <c r="L68" s="38">
        <v>4000</v>
      </c>
      <c r="M68" s="38"/>
      <c r="N68" s="111"/>
      <c r="O68" s="67"/>
      <c r="P68" s="90" t="s">
        <v>2317</v>
      </c>
      <c r="Q68" s="60" t="s">
        <v>2318</v>
      </c>
      <c r="R68" s="251"/>
      <c r="S68" s="251"/>
      <c r="T68" s="251"/>
      <c r="U68" s="251"/>
      <c r="V68" s="251"/>
      <c r="W68" s="251"/>
      <c r="X68" s="251"/>
      <c r="Y68" s="251"/>
      <c r="Z68" s="251"/>
      <c r="AA68" s="251"/>
      <c r="AB68" s="251"/>
      <c r="AC68" s="251"/>
      <c r="AD68" s="251"/>
      <c r="AE68" s="251"/>
      <c r="AF68" s="251"/>
      <c r="AG68" s="251"/>
      <c r="AH68" s="251"/>
      <c r="AI68" s="90"/>
      <c r="AJ68" s="90" t="s">
        <v>117</v>
      </c>
      <c r="AK68" s="34" t="s">
        <v>1215</v>
      </c>
      <c r="AL68" s="35" t="s">
        <v>2319</v>
      </c>
      <c r="AM68" s="35" t="s">
        <v>375</v>
      </c>
      <c r="AN68" s="91"/>
      <c r="AO68" s="157"/>
      <c r="AP68" s="158" t="s">
        <v>1997</v>
      </c>
      <c r="AQ68" s="158" t="s">
        <v>1978</v>
      </c>
      <c r="AR68" s="158" t="str">
        <f t="shared" si="111"/>
        <v>交通公路</v>
      </c>
      <c r="AS68" s="158" t="str">
        <f t="shared" si="112"/>
        <v>公路</v>
      </c>
      <c r="AT68" s="158"/>
      <c r="AU68" s="157"/>
      <c r="AV68" s="159"/>
      <c r="AW68" s="160"/>
      <c r="AX68" s="157"/>
      <c r="AY68" s="157"/>
      <c r="AZ68" s="157"/>
      <c r="BA68" s="157"/>
      <c r="BB68" s="157"/>
      <c r="BC68" s="157"/>
      <c r="BD68" s="157"/>
      <c r="BE68" s="157"/>
      <c r="BF68" s="202" t="s">
        <v>205</v>
      </c>
      <c r="BG68" s="203" t="s">
        <v>1980</v>
      </c>
      <c r="BH68" s="201" t="str">
        <f t="shared" si="113"/>
        <v>政府钦北区人民政府</v>
      </c>
      <c r="BI68" s="201" t="str">
        <f t="shared" si="114"/>
        <v>基础设施钦北区人民政府</v>
      </c>
      <c r="BJ68" s="204">
        <f t="shared" si="124"/>
        <v>0</v>
      </c>
      <c r="BK68" s="157" t="str">
        <f t="shared" si="125"/>
        <v>交通公路1000</v>
      </c>
      <c r="BL68" s="157" t="str">
        <f t="shared" si="126"/>
        <v>交通公路2000</v>
      </c>
      <c r="BM68" s="157" t="str">
        <f t="shared" si="127"/>
        <v/>
      </c>
      <c r="BN68" s="157"/>
      <c r="BO68" s="157">
        <f t="shared" si="119"/>
        <v>0</v>
      </c>
      <c r="BP68" s="157">
        <f t="shared" si="120"/>
        <v>0</v>
      </c>
      <c r="BQ68" s="157">
        <f t="shared" si="121"/>
        <v>0</v>
      </c>
      <c r="BR68" s="157">
        <f t="shared" si="122"/>
        <v>0</v>
      </c>
      <c r="BS68" s="157">
        <f t="shared" si="123"/>
        <v>0</v>
      </c>
      <c r="BT68" s="181"/>
      <c r="BU68" s="206"/>
      <c r="BX68" s="206"/>
    </row>
    <row r="69" ht="70.5" customHeight="1" spans="1:73">
      <c r="A69" s="23">
        <f>SUBTOTAL(3,C$7:C69)</f>
        <v>47</v>
      </c>
      <c r="B69" s="55" t="s">
        <v>1223</v>
      </c>
      <c r="C69" s="35" t="s">
        <v>562</v>
      </c>
      <c r="D69" s="55" t="s">
        <v>1224</v>
      </c>
      <c r="E69" s="35" t="s">
        <v>564</v>
      </c>
      <c r="F69" s="38">
        <v>7316</v>
      </c>
      <c r="G69" s="38">
        <v>1910</v>
      </c>
      <c r="H69" s="123" t="s">
        <v>1225</v>
      </c>
      <c r="I69" s="67">
        <v>500</v>
      </c>
      <c r="J69" s="67">
        <v>1100</v>
      </c>
      <c r="K69" s="67">
        <v>1700</v>
      </c>
      <c r="L69" s="38">
        <v>2500</v>
      </c>
      <c r="M69" s="38"/>
      <c r="N69" s="111"/>
      <c r="O69" s="67"/>
      <c r="P69" s="90" t="s">
        <v>2317</v>
      </c>
      <c r="Q69" s="90" t="s">
        <v>2002</v>
      </c>
      <c r="R69" s="132"/>
      <c r="S69" s="132"/>
      <c r="T69" s="132"/>
      <c r="U69" s="132"/>
      <c r="V69" s="132"/>
      <c r="W69" s="132"/>
      <c r="X69" s="132"/>
      <c r="Y69" s="132"/>
      <c r="Z69" s="132"/>
      <c r="AA69" s="132"/>
      <c r="AB69" s="132"/>
      <c r="AC69" s="132"/>
      <c r="AD69" s="132"/>
      <c r="AE69" s="132"/>
      <c r="AF69" s="132"/>
      <c r="AG69" s="132"/>
      <c r="AH69" s="132"/>
      <c r="AI69" s="90"/>
      <c r="AJ69" s="90" t="s">
        <v>117</v>
      </c>
      <c r="AK69" s="34" t="s">
        <v>1215</v>
      </c>
      <c r="AL69" s="35" t="s">
        <v>2319</v>
      </c>
      <c r="AM69" s="35" t="s">
        <v>375</v>
      </c>
      <c r="AN69" s="91"/>
      <c r="AO69" s="157"/>
      <c r="AP69" s="158" t="s">
        <v>1997</v>
      </c>
      <c r="AQ69" s="158" t="s">
        <v>1978</v>
      </c>
      <c r="AR69" s="158" t="str">
        <f t="shared" si="111"/>
        <v>交通公路</v>
      </c>
      <c r="AS69" s="158" t="str">
        <f t="shared" si="112"/>
        <v>公路</v>
      </c>
      <c r="AT69" s="158"/>
      <c r="AU69" s="161"/>
      <c r="AV69" s="161"/>
      <c r="AW69" s="160"/>
      <c r="AX69" s="157"/>
      <c r="AY69" s="157"/>
      <c r="AZ69" s="157"/>
      <c r="BA69" s="157"/>
      <c r="BB69" s="157"/>
      <c r="BC69" s="157"/>
      <c r="BD69" s="157"/>
      <c r="BE69" s="157"/>
      <c r="BF69" s="202" t="s">
        <v>205</v>
      </c>
      <c r="BG69" s="203" t="s">
        <v>1980</v>
      </c>
      <c r="BH69" s="201" t="str">
        <f t="shared" si="113"/>
        <v>政府钦北区人民政府</v>
      </c>
      <c r="BI69" s="201" t="str">
        <f t="shared" si="114"/>
        <v>基础设施钦北区人民政府</v>
      </c>
      <c r="BJ69" s="204">
        <f t="shared" si="124"/>
        <v>0</v>
      </c>
      <c r="BK69" s="157" t="str">
        <f t="shared" si="125"/>
        <v>交通公路1000</v>
      </c>
      <c r="BL69" s="157" t="str">
        <f t="shared" si="126"/>
        <v>交通公路2000</v>
      </c>
      <c r="BM69" s="157" t="str">
        <f t="shared" si="127"/>
        <v/>
      </c>
      <c r="BN69" s="157"/>
      <c r="BO69" s="157">
        <f t="shared" si="119"/>
        <v>0</v>
      </c>
      <c r="BP69" s="157">
        <f t="shared" si="120"/>
        <v>0</v>
      </c>
      <c r="BQ69" s="157">
        <f t="shared" si="121"/>
        <v>0</v>
      </c>
      <c r="BR69" s="157">
        <f t="shared" si="122"/>
        <v>0</v>
      </c>
      <c r="BS69" s="157">
        <f t="shared" si="123"/>
        <v>0</v>
      </c>
      <c r="BT69" s="181"/>
      <c r="BU69" s="206"/>
    </row>
    <row r="70" ht="65.25" customHeight="1" spans="1:73">
      <c r="A70" s="23">
        <f>SUBTOTAL(3,C$7:C70)</f>
        <v>48</v>
      </c>
      <c r="B70" s="55" t="s">
        <v>1219</v>
      </c>
      <c r="C70" s="35" t="s">
        <v>562</v>
      </c>
      <c r="D70" s="55" t="s">
        <v>1220</v>
      </c>
      <c r="E70" s="35" t="s">
        <v>575</v>
      </c>
      <c r="F70" s="38">
        <v>8869</v>
      </c>
      <c r="G70" s="38">
        <v>300</v>
      </c>
      <c r="H70" s="123" t="s">
        <v>1221</v>
      </c>
      <c r="I70" s="67">
        <v>400</v>
      </c>
      <c r="J70" s="67">
        <v>800</v>
      </c>
      <c r="K70" s="67">
        <v>1400</v>
      </c>
      <c r="L70" s="38">
        <v>2000</v>
      </c>
      <c r="M70" s="38"/>
      <c r="N70" s="111"/>
      <c r="O70" s="67"/>
      <c r="P70" s="90" t="s">
        <v>2320</v>
      </c>
      <c r="Q70" s="90" t="s">
        <v>117</v>
      </c>
      <c r="R70" s="132"/>
      <c r="S70" s="132"/>
      <c r="T70" s="132"/>
      <c r="U70" s="132"/>
      <c r="V70" s="132"/>
      <c r="W70" s="132"/>
      <c r="X70" s="132"/>
      <c r="Y70" s="132"/>
      <c r="Z70" s="132"/>
      <c r="AA70" s="132"/>
      <c r="AB70" s="132"/>
      <c r="AC70" s="132"/>
      <c r="AD70" s="132"/>
      <c r="AE70" s="132"/>
      <c r="AF70" s="132"/>
      <c r="AG70" s="132"/>
      <c r="AH70" s="132"/>
      <c r="AI70" s="90"/>
      <c r="AJ70" s="112" t="s">
        <v>1222</v>
      </c>
      <c r="AK70" s="123" t="s">
        <v>807</v>
      </c>
      <c r="AL70" s="35" t="s">
        <v>2058</v>
      </c>
      <c r="AM70" s="35" t="s">
        <v>375</v>
      </c>
      <c r="AN70" s="91"/>
      <c r="AO70" s="157"/>
      <c r="AP70" s="158" t="s">
        <v>1997</v>
      </c>
      <c r="AQ70" s="158" t="s">
        <v>1978</v>
      </c>
      <c r="AR70" s="158" t="str">
        <f t="shared" si="111"/>
        <v>交通公路</v>
      </c>
      <c r="AS70" s="158" t="str">
        <f t="shared" si="112"/>
        <v>公路</v>
      </c>
      <c r="AT70" s="158"/>
      <c r="AU70" s="161"/>
      <c r="AV70" s="161"/>
      <c r="AW70" s="160"/>
      <c r="AX70" s="157"/>
      <c r="AY70" s="157"/>
      <c r="AZ70" s="157"/>
      <c r="BA70" s="157"/>
      <c r="BB70" s="157"/>
      <c r="BC70" s="157"/>
      <c r="BD70" s="157"/>
      <c r="BE70" s="157"/>
      <c r="BF70" s="202" t="s">
        <v>205</v>
      </c>
      <c r="BG70" s="203" t="s">
        <v>1980</v>
      </c>
      <c r="BH70" s="201" t="str">
        <f t="shared" si="113"/>
        <v>政府钦北区人民政府</v>
      </c>
      <c r="BI70" s="201" t="str">
        <f t="shared" si="114"/>
        <v>基础设施钦北区人民政府</v>
      </c>
      <c r="BJ70" s="204">
        <f t="shared" si="124"/>
        <v>0</v>
      </c>
      <c r="BK70" s="157" t="str">
        <f t="shared" si="125"/>
        <v>交通公路1000</v>
      </c>
      <c r="BL70" s="157" t="str">
        <f t="shared" si="126"/>
        <v>交通公路2000</v>
      </c>
      <c r="BM70" s="157" t="str">
        <f t="shared" si="127"/>
        <v/>
      </c>
      <c r="BN70" s="157"/>
      <c r="BO70" s="157">
        <f t="shared" si="119"/>
        <v>0</v>
      </c>
      <c r="BP70" s="157">
        <f t="shared" si="120"/>
        <v>0</v>
      </c>
      <c r="BQ70" s="157">
        <f t="shared" si="121"/>
        <v>0</v>
      </c>
      <c r="BR70" s="157">
        <f t="shared" si="122"/>
        <v>0</v>
      </c>
      <c r="BS70" s="157">
        <f t="shared" si="123"/>
        <v>0</v>
      </c>
      <c r="BT70" s="181"/>
      <c r="BU70" s="206"/>
    </row>
    <row r="71" ht="81" customHeight="1" spans="1:79">
      <c r="A71" s="23">
        <f>SUBTOTAL(3,C$7:C71)</f>
        <v>49</v>
      </c>
      <c r="B71" s="55" t="s">
        <v>1172</v>
      </c>
      <c r="C71" s="35" t="s">
        <v>562</v>
      </c>
      <c r="D71" s="55" t="s">
        <v>1173</v>
      </c>
      <c r="E71" s="35" t="s">
        <v>575</v>
      </c>
      <c r="F71" s="36">
        <v>7097</v>
      </c>
      <c r="G71" s="36">
        <v>1200</v>
      </c>
      <c r="H71" s="123" t="s">
        <v>1174</v>
      </c>
      <c r="I71" s="67">
        <v>800</v>
      </c>
      <c r="J71" s="67">
        <v>1500</v>
      </c>
      <c r="K71" s="67">
        <v>2200</v>
      </c>
      <c r="L71" s="36">
        <v>3000</v>
      </c>
      <c r="M71" s="36"/>
      <c r="N71" s="67"/>
      <c r="O71" s="76"/>
      <c r="P71" s="259" t="s">
        <v>2321</v>
      </c>
      <c r="Q71" s="710" t="s">
        <v>117</v>
      </c>
      <c r="R71" s="132"/>
      <c r="S71" s="132"/>
      <c r="T71" s="132"/>
      <c r="U71" s="132"/>
      <c r="V71" s="132"/>
      <c r="W71" s="132"/>
      <c r="X71" s="132"/>
      <c r="Y71" s="132"/>
      <c r="Z71" s="132"/>
      <c r="AA71" s="132"/>
      <c r="AB71" s="132"/>
      <c r="AC71" s="132"/>
      <c r="AD71" s="132"/>
      <c r="AE71" s="132"/>
      <c r="AF71" s="132"/>
      <c r="AG71" s="132"/>
      <c r="AH71" s="132"/>
      <c r="AI71" s="90"/>
      <c r="AJ71" s="259" t="s">
        <v>1175</v>
      </c>
      <c r="AK71" s="34" t="s">
        <v>1176</v>
      </c>
      <c r="AL71" s="35" t="s">
        <v>2009</v>
      </c>
      <c r="AM71" s="35" t="s">
        <v>269</v>
      </c>
      <c r="AN71" s="91"/>
      <c r="AO71" s="157"/>
      <c r="AP71" s="158" t="s">
        <v>1997</v>
      </c>
      <c r="AQ71" s="158" t="s">
        <v>1978</v>
      </c>
      <c r="AR71" s="158" t="str">
        <f t="shared" si="111"/>
        <v>交通公路</v>
      </c>
      <c r="AS71" s="158" t="str">
        <f t="shared" si="112"/>
        <v>公路</v>
      </c>
      <c r="AT71" s="158"/>
      <c r="AU71" s="161"/>
      <c r="AV71" s="161"/>
      <c r="AW71" s="160"/>
      <c r="AX71" s="157"/>
      <c r="AY71" s="157"/>
      <c r="AZ71" s="157"/>
      <c r="BA71" s="157"/>
      <c r="BB71" s="157"/>
      <c r="BC71" s="157"/>
      <c r="BD71" s="157"/>
      <c r="BE71" s="157"/>
      <c r="BF71" s="202" t="s">
        <v>205</v>
      </c>
      <c r="BG71" s="203" t="s">
        <v>1980</v>
      </c>
      <c r="BH71" s="201" t="str">
        <f t="shared" si="113"/>
        <v>政府灵山县人民政府</v>
      </c>
      <c r="BI71" s="201" t="str">
        <f t="shared" si="114"/>
        <v>基础设施灵山县人民政府</v>
      </c>
      <c r="BJ71" s="204">
        <f t="shared" si="124"/>
        <v>0</v>
      </c>
      <c r="BK71" s="157" t="str">
        <f t="shared" si="125"/>
        <v>交通公路1000</v>
      </c>
      <c r="BL71" s="157" t="str">
        <f t="shared" si="126"/>
        <v>交通公路2000</v>
      </c>
      <c r="BM71" s="157" t="str">
        <f t="shared" si="127"/>
        <v/>
      </c>
      <c r="BN71" s="157"/>
      <c r="BO71" s="157">
        <f t="shared" si="119"/>
        <v>0</v>
      </c>
      <c r="BP71" s="157">
        <f t="shared" si="120"/>
        <v>0</v>
      </c>
      <c r="BQ71" s="157">
        <f t="shared" si="121"/>
        <v>0</v>
      </c>
      <c r="BR71" s="157">
        <f t="shared" si="122"/>
        <v>0</v>
      </c>
      <c r="BS71" s="157">
        <f t="shared" si="123"/>
        <v>0</v>
      </c>
      <c r="BT71" s="181"/>
      <c r="BU71" s="206"/>
      <c r="BW71" s="7"/>
      <c r="BX71" s="7"/>
      <c r="BY71" s="7"/>
      <c r="BZ71" s="7"/>
      <c r="CA71" s="7"/>
    </row>
    <row r="72" ht="85.5" customHeight="1" spans="1:73">
      <c r="A72" s="23">
        <f>SUBTOTAL(3,C$7:C72)</f>
        <v>50</v>
      </c>
      <c r="B72" s="671" t="s">
        <v>2322</v>
      </c>
      <c r="C72" s="35" t="s">
        <v>562</v>
      </c>
      <c r="D72" s="55" t="s">
        <v>1184</v>
      </c>
      <c r="E72" s="35" t="s">
        <v>575</v>
      </c>
      <c r="F72" s="38">
        <v>49856</v>
      </c>
      <c r="G72" s="38">
        <v>10000</v>
      </c>
      <c r="H72" s="123" t="s">
        <v>1185</v>
      </c>
      <c r="I72" s="67">
        <v>1500</v>
      </c>
      <c r="J72" s="67">
        <v>4500</v>
      </c>
      <c r="K72" s="67">
        <v>7500</v>
      </c>
      <c r="L72" s="38">
        <v>10000</v>
      </c>
      <c r="M72" s="38"/>
      <c r="N72" s="111"/>
      <c r="O72" s="67"/>
      <c r="P72" s="259" t="s">
        <v>2323</v>
      </c>
      <c r="Q72" s="90" t="s">
        <v>2324</v>
      </c>
      <c r="R72" s="132"/>
      <c r="S72" s="132"/>
      <c r="T72" s="132"/>
      <c r="U72" s="132"/>
      <c r="V72" s="132"/>
      <c r="W72" s="132"/>
      <c r="X72" s="132"/>
      <c r="Y72" s="132"/>
      <c r="Z72" s="132"/>
      <c r="AA72" s="132"/>
      <c r="AB72" s="132"/>
      <c r="AC72" s="132"/>
      <c r="AD72" s="132"/>
      <c r="AE72" s="132"/>
      <c r="AF72" s="132"/>
      <c r="AG72" s="132"/>
      <c r="AH72" s="132"/>
      <c r="AI72" s="90"/>
      <c r="AJ72" s="90" t="s">
        <v>1186</v>
      </c>
      <c r="AK72" s="595" t="s">
        <v>1187</v>
      </c>
      <c r="AL72" s="35" t="s">
        <v>2325</v>
      </c>
      <c r="AM72" s="35" t="s">
        <v>317</v>
      </c>
      <c r="AN72" s="91"/>
      <c r="AO72" s="157"/>
      <c r="AP72" s="158" t="s">
        <v>1997</v>
      </c>
      <c r="AQ72" s="158" t="s">
        <v>1978</v>
      </c>
      <c r="AR72" s="158" t="str">
        <f t="shared" si="111"/>
        <v>交通公路</v>
      </c>
      <c r="AS72" s="158" t="str">
        <f t="shared" si="112"/>
        <v>公路</v>
      </c>
      <c r="AT72" s="158"/>
      <c r="AU72" s="161"/>
      <c r="AV72" s="161"/>
      <c r="AW72" s="160"/>
      <c r="AX72" s="157"/>
      <c r="AY72" s="157"/>
      <c r="AZ72" s="157"/>
      <c r="BA72" s="157"/>
      <c r="BB72" s="157"/>
      <c r="BC72" s="157"/>
      <c r="BD72" s="157"/>
      <c r="BE72" s="157"/>
      <c r="BF72" s="202" t="s">
        <v>205</v>
      </c>
      <c r="BG72" s="203" t="s">
        <v>1980</v>
      </c>
      <c r="BH72" s="201" t="str">
        <f t="shared" si="113"/>
        <v>政府浦北县人民政府</v>
      </c>
      <c r="BI72" s="201" t="str">
        <f t="shared" si="114"/>
        <v>基础设施浦北县人民政府</v>
      </c>
      <c r="BJ72" s="204">
        <f t="shared" si="124"/>
        <v>0</v>
      </c>
      <c r="BK72" s="157" t="str">
        <f t="shared" si="125"/>
        <v>交通公路1000</v>
      </c>
      <c r="BL72" s="157" t="str">
        <f t="shared" si="126"/>
        <v>交通公路2000</v>
      </c>
      <c r="BM72" s="157" t="str">
        <f t="shared" si="127"/>
        <v>交通公路5000</v>
      </c>
      <c r="BN72" s="157"/>
      <c r="BO72" s="157">
        <f t="shared" si="119"/>
        <v>0</v>
      </c>
      <c r="BP72" s="157">
        <f t="shared" si="120"/>
        <v>0</v>
      </c>
      <c r="BQ72" s="157">
        <f t="shared" si="121"/>
        <v>0</v>
      </c>
      <c r="BR72" s="157">
        <f t="shared" si="122"/>
        <v>0</v>
      </c>
      <c r="BS72" s="157">
        <f t="shared" si="123"/>
        <v>0</v>
      </c>
      <c r="BT72" s="181"/>
      <c r="BU72" s="206"/>
    </row>
    <row r="73" ht="101.25" customHeight="1" spans="1:73">
      <c r="A73" s="23">
        <f>SUBTOTAL(3,C$7:C73)</f>
        <v>51</v>
      </c>
      <c r="B73" s="243" t="s">
        <v>1188</v>
      </c>
      <c r="C73" s="35" t="s">
        <v>562</v>
      </c>
      <c r="D73" s="232" t="s">
        <v>2326</v>
      </c>
      <c r="E73" s="35" t="s">
        <v>661</v>
      </c>
      <c r="F73" s="35">
        <v>38927</v>
      </c>
      <c r="G73" s="37">
        <v>11000</v>
      </c>
      <c r="H73" s="123" t="s">
        <v>2327</v>
      </c>
      <c r="I73" s="67">
        <v>900</v>
      </c>
      <c r="J73" s="67">
        <v>2000</v>
      </c>
      <c r="K73" s="67">
        <v>3500</v>
      </c>
      <c r="L73" s="37">
        <v>5000</v>
      </c>
      <c r="M73" s="37"/>
      <c r="N73" s="111"/>
      <c r="O73" s="67"/>
      <c r="P73" s="259" t="s">
        <v>2328</v>
      </c>
      <c r="Q73" s="90" t="s">
        <v>2329</v>
      </c>
      <c r="R73" s="132"/>
      <c r="S73" s="132"/>
      <c r="T73" s="132"/>
      <c r="U73" s="132"/>
      <c r="V73" s="132"/>
      <c r="W73" s="132"/>
      <c r="X73" s="132"/>
      <c r="Y73" s="132"/>
      <c r="Z73" s="132"/>
      <c r="AA73" s="132"/>
      <c r="AB73" s="132"/>
      <c r="AC73" s="132"/>
      <c r="AD73" s="132"/>
      <c r="AE73" s="132"/>
      <c r="AF73" s="132"/>
      <c r="AG73" s="132"/>
      <c r="AH73" s="132"/>
      <c r="AI73" s="90"/>
      <c r="AJ73" s="90" t="s">
        <v>1186</v>
      </c>
      <c r="AK73" s="595" t="s">
        <v>1187</v>
      </c>
      <c r="AL73" s="67" t="s">
        <v>2325</v>
      </c>
      <c r="AM73" s="67" t="s">
        <v>317</v>
      </c>
      <c r="AN73" s="91"/>
      <c r="AO73" s="157"/>
      <c r="AP73" s="158" t="s">
        <v>1997</v>
      </c>
      <c r="AQ73" s="158" t="s">
        <v>1978</v>
      </c>
      <c r="AR73" s="158" t="str">
        <f t="shared" si="111"/>
        <v>交通公路</v>
      </c>
      <c r="AS73" s="158" t="str">
        <f t="shared" si="112"/>
        <v>公路</v>
      </c>
      <c r="AT73" s="158"/>
      <c r="AU73" s="161"/>
      <c r="AV73" s="161"/>
      <c r="AW73" s="160"/>
      <c r="AX73" s="157"/>
      <c r="AY73" s="157"/>
      <c r="AZ73" s="157"/>
      <c r="BA73" s="157"/>
      <c r="BB73" s="157"/>
      <c r="BC73" s="157"/>
      <c r="BD73" s="157"/>
      <c r="BE73" s="157"/>
      <c r="BF73" s="202" t="s">
        <v>205</v>
      </c>
      <c r="BG73" s="203" t="s">
        <v>1980</v>
      </c>
      <c r="BH73" s="201" t="str">
        <f t="shared" si="113"/>
        <v>政府浦北县人民政府</v>
      </c>
      <c r="BI73" s="201" t="str">
        <f t="shared" si="114"/>
        <v>基础设施浦北县人民政府</v>
      </c>
      <c r="BJ73" s="204">
        <f t="shared" si="124"/>
        <v>0</v>
      </c>
      <c r="BK73" s="157" t="str">
        <f t="shared" si="125"/>
        <v>交通公路1000</v>
      </c>
      <c r="BL73" s="157" t="str">
        <f t="shared" si="126"/>
        <v>交通公路2000</v>
      </c>
      <c r="BM73" s="157" t="str">
        <f t="shared" si="127"/>
        <v>交通公路5000</v>
      </c>
      <c r="BN73" s="157"/>
      <c r="BO73" s="157">
        <f t="shared" si="119"/>
        <v>0</v>
      </c>
      <c r="BP73" s="157">
        <f t="shared" si="120"/>
        <v>0</v>
      </c>
      <c r="BQ73" s="157">
        <f t="shared" si="121"/>
        <v>0</v>
      </c>
      <c r="BR73" s="157">
        <f t="shared" si="122"/>
        <v>0</v>
      </c>
      <c r="BS73" s="157">
        <f t="shared" si="123"/>
        <v>0</v>
      </c>
      <c r="BT73" s="181"/>
      <c r="BU73" s="206"/>
    </row>
    <row r="74" s="9" customFormat="1" ht="30" customHeight="1" spans="1:72">
      <c r="A74" s="551" t="s">
        <v>2012</v>
      </c>
      <c r="B74" s="557" t="str">
        <f>"城市基础设施（"&amp;SUBTOTAL(3,C75:C113)&amp;"个）"</f>
        <v>城市基础设施（34个）</v>
      </c>
      <c r="C74" s="557"/>
      <c r="D74" s="557"/>
      <c r="E74" s="551"/>
      <c r="F74" s="134">
        <f t="shared" ref="F74:M74" si="128">F75+F79+F95+F100+F103</f>
        <v>765613.49</v>
      </c>
      <c r="G74" s="134">
        <f t="shared" si="128"/>
        <v>239078</v>
      </c>
      <c r="H74" s="134"/>
      <c r="I74" s="134">
        <f t="shared" si="128"/>
        <v>13320</v>
      </c>
      <c r="J74" s="134">
        <f t="shared" si="128"/>
        <v>40370</v>
      </c>
      <c r="K74" s="134">
        <f t="shared" si="128"/>
        <v>72691</v>
      </c>
      <c r="L74" s="134">
        <f t="shared" si="128"/>
        <v>102097</v>
      </c>
      <c r="M74" s="134">
        <f t="shared" si="128"/>
        <v>0</v>
      </c>
      <c r="N74" s="67"/>
      <c r="O74" s="67"/>
      <c r="P74" s="674"/>
      <c r="Q74" s="90"/>
      <c r="R74" s="132"/>
      <c r="S74" s="132"/>
      <c r="T74" s="132"/>
      <c r="U74" s="132"/>
      <c r="V74" s="132"/>
      <c r="W74" s="132"/>
      <c r="X74" s="132"/>
      <c r="Y74" s="132"/>
      <c r="Z74" s="132"/>
      <c r="AA74" s="132"/>
      <c r="AB74" s="132"/>
      <c r="AC74" s="132"/>
      <c r="AD74" s="132"/>
      <c r="AE74" s="132"/>
      <c r="AF74" s="132"/>
      <c r="AG74" s="132"/>
      <c r="AH74" s="132"/>
      <c r="AI74" s="90"/>
      <c r="AJ74" s="90"/>
      <c r="AK74" s="591"/>
      <c r="AL74" s="134"/>
      <c r="AM74" s="134"/>
      <c r="AN74" s="91"/>
      <c r="AO74" s="165"/>
      <c r="AP74" s="158"/>
      <c r="AQ74" s="158"/>
      <c r="AR74" s="158"/>
      <c r="AS74" s="158"/>
      <c r="AT74" s="158"/>
      <c r="AU74" s="165"/>
      <c r="AV74" s="169"/>
      <c r="AW74" s="165"/>
      <c r="AX74" s="165"/>
      <c r="AY74" s="165"/>
      <c r="AZ74" s="165"/>
      <c r="BA74" s="165"/>
      <c r="BB74" s="169"/>
      <c r="BC74" s="169"/>
      <c r="BD74" s="169"/>
      <c r="BE74" s="165"/>
      <c r="BF74" s="201"/>
      <c r="BG74" s="685"/>
      <c r="BK74" s="201"/>
      <c r="BL74" s="201"/>
      <c r="BM74" s="201"/>
      <c r="BN74" s="201"/>
      <c r="BO74" s="201"/>
      <c r="BP74" s="201"/>
      <c r="BQ74" s="201"/>
      <c r="BR74" s="201"/>
      <c r="BS74" s="201"/>
      <c r="BT74" s="7"/>
    </row>
    <row r="75" s="9" customFormat="1" ht="30" customHeight="1" spans="1:72">
      <c r="A75" s="551"/>
      <c r="B75" s="557" t="str">
        <f>"生态环保（"&amp;SUBTOTAL(3,C76:C78)&amp;"个）"</f>
        <v>生态环保（3个）</v>
      </c>
      <c r="C75" s="551"/>
      <c r="D75" s="554"/>
      <c r="E75" s="551"/>
      <c r="F75" s="134">
        <f>SUBTOTAL(9,F76:F78)</f>
        <v>31609</v>
      </c>
      <c r="G75" s="134">
        <f>SUBTOTAL(9,G76:G78)</f>
        <v>7400</v>
      </c>
      <c r="H75" s="134"/>
      <c r="I75" s="134">
        <f t="shared" ref="I75:O75" si="129">SUBTOTAL(9,I76:I78)</f>
        <v>1500</v>
      </c>
      <c r="J75" s="134">
        <f t="shared" si="129"/>
        <v>5000</v>
      </c>
      <c r="K75" s="134">
        <f t="shared" si="129"/>
        <v>8000</v>
      </c>
      <c r="L75" s="134">
        <f t="shared" si="129"/>
        <v>11000</v>
      </c>
      <c r="M75" s="134">
        <f t="shared" si="129"/>
        <v>0</v>
      </c>
      <c r="N75" s="134">
        <f t="shared" si="129"/>
        <v>0</v>
      </c>
      <c r="O75" s="134">
        <f t="shared" si="129"/>
        <v>0</v>
      </c>
      <c r="P75" s="674"/>
      <c r="Q75" s="90"/>
      <c r="R75" s="132"/>
      <c r="S75" s="132"/>
      <c r="T75" s="132"/>
      <c r="U75" s="132"/>
      <c r="V75" s="132"/>
      <c r="W75" s="132"/>
      <c r="X75" s="132"/>
      <c r="Y75" s="132"/>
      <c r="Z75" s="132"/>
      <c r="AA75" s="132"/>
      <c r="AB75" s="132"/>
      <c r="AC75" s="132"/>
      <c r="AD75" s="132"/>
      <c r="AE75" s="132"/>
      <c r="AF75" s="132"/>
      <c r="AG75" s="132"/>
      <c r="AH75" s="132"/>
      <c r="AI75" s="90"/>
      <c r="AJ75" s="90"/>
      <c r="AK75" s="591"/>
      <c r="AL75" s="134"/>
      <c r="AM75" s="134"/>
      <c r="AN75" s="91"/>
      <c r="AO75" s="165"/>
      <c r="AP75" s="158"/>
      <c r="AQ75" s="158"/>
      <c r="AR75" s="158"/>
      <c r="AS75" s="158"/>
      <c r="AT75" s="158"/>
      <c r="AU75" s="165"/>
      <c r="AV75" s="169"/>
      <c r="AW75" s="165"/>
      <c r="AX75" s="165"/>
      <c r="AY75" s="165"/>
      <c r="AZ75" s="165"/>
      <c r="BA75" s="165"/>
      <c r="BB75" s="169"/>
      <c r="BC75" s="169"/>
      <c r="BD75" s="169"/>
      <c r="BE75" s="165"/>
      <c r="BF75" s="201"/>
      <c r="BG75" s="685"/>
      <c r="BK75" s="201"/>
      <c r="BL75" s="201"/>
      <c r="BM75" s="201"/>
      <c r="BN75" s="201"/>
      <c r="BO75" s="201"/>
      <c r="BP75" s="201"/>
      <c r="BQ75" s="201"/>
      <c r="BR75" s="201"/>
      <c r="BS75" s="201"/>
      <c r="BT75" s="181"/>
    </row>
    <row r="76" s="9" customFormat="1" ht="77.25" customHeight="1" spans="1:72">
      <c r="A76" s="23">
        <f>SUBTOTAL(3,C$7:C76)</f>
        <v>52</v>
      </c>
      <c r="B76" s="688" t="s">
        <v>1066</v>
      </c>
      <c r="C76" s="646" t="s">
        <v>562</v>
      </c>
      <c r="D76" s="688" t="s">
        <v>1067</v>
      </c>
      <c r="E76" s="646" t="s">
        <v>575</v>
      </c>
      <c r="F76" s="689">
        <v>14756</v>
      </c>
      <c r="G76" s="689">
        <v>2000</v>
      </c>
      <c r="H76" s="123" t="s">
        <v>1068</v>
      </c>
      <c r="I76" s="67">
        <v>400</v>
      </c>
      <c r="J76" s="67">
        <v>1000</v>
      </c>
      <c r="K76" s="67">
        <v>1800</v>
      </c>
      <c r="L76" s="689">
        <v>3000</v>
      </c>
      <c r="M76" s="689"/>
      <c r="N76" s="67"/>
      <c r="O76" s="67"/>
      <c r="P76" s="688" t="s">
        <v>2330</v>
      </c>
      <c r="Q76" s="90" t="s">
        <v>117</v>
      </c>
      <c r="R76" s="132"/>
      <c r="S76" s="132"/>
      <c r="T76" s="132"/>
      <c r="U76" s="132"/>
      <c r="V76" s="132"/>
      <c r="W76" s="132"/>
      <c r="X76" s="132"/>
      <c r="Y76" s="132"/>
      <c r="Z76" s="132"/>
      <c r="AA76" s="132"/>
      <c r="AB76" s="132"/>
      <c r="AC76" s="132"/>
      <c r="AD76" s="132"/>
      <c r="AE76" s="132"/>
      <c r="AF76" s="132"/>
      <c r="AG76" s="132"/>
      <c r="AH76" s="132"/>
      <c r="AI76" s="90"/>
      <c r="AJ76" s="90" t="s">
        <v>117</v>
      </c>
      <c r="AK76" s="714" t="s">
        <v>2331</v>
      </c>
      <c r="AL76" s="646" t="s">
        <v>2332</v>
      </c>
      <c r="AM76" s="35" t="s">
        <v>269</v>
      </c>
      <c r="AN76" s="91"/>
      <c r="AO76" s="165"/>
      <c r="AP76" s="158" t="s">
        <v>2016</v>
      </c>
      <c r="AQ76" s="158" t="s">
        <v>2017</v>
      </c>
      <c r="AR76" s="158" t="str">
        <f t="shared" ref="AR76:AR78" si="130">AQ76&amp;AP76</f>
        <v>城市基础设施生态环保</v>
      </c>
      <c r="AS76" s="158" t="s">
        <v>2018</v>
      </c>
      <c r="AT76" s="158"/>
      <c r="AU76" s="165"/>
      <c r="AV76" s="169"/>
      <c r="AW76" s="165"/>
      <c r="AX76" s="165"/>
      <c r="AY76" s="165"/>
      <c r="AZ76" s="165"/>
      <c r="BA76" s="165"/>
      <c r="BB76" s="169"/>
      <c r="BC76" s="169"/>
      <c r="BD76" s="169"/>
      <c r="BE76" s="165"/>
      <c r="BF76" s="202" t="s">
        <v>205</v>
      </c>
      <c r="BG76" s="203" t="s">
        <v>1980</v>
      </c>
      <c r="BH76" s="201" t="str">
        <f t="shared" ref="BH76:BH78" si="131">BF76&amp;AM76</f>
        <v>政府灵山县人民政府</v>
      </c>
      <c r="BI76" s="201" t="str">
        <f t="shared" ref="BI76:BI78" si="132">BG76&amp;AM76</f>
        <v>基础设施灵山县人民政府</v>
      </c>
      <c r="BK76" s="157" t="str">
        <f t="shared" ref="BK76:BK78" si="133">IF(L76&lt;1000,"",AR76&amp;"1000")</f>
        <v>城市基础设施生态环保1000</v>
      </c>
      <c r="BL76" s="157" t="str">
        <f t="shared" ref="BL76:BL78" si="134">IF(L76&lt;2000,"",AR76&amp;"2000")</f>
        <v>城市基础设施生态环保2000</v>
      </c>
      <c r="BM76" s="157" t="str">
        <f t="shared" ref="BM76:BM78" si="135">IF(L76&lt;5000,"",AR76&amp;"5000")</f>
        <v/>
      </c>
      <c r="BN76" s="659"/>
      <c r="BO76" s="157">
        <f t="shared" ref="BO76:BO78" si="136">IF(R76&gt;0,1,0)</f>
        <v>0</v>
      </c>
      <c r="BP76" s="157">
        <f t="shared" ref="BP76:BP78" si="137">IF(X76&gt;0,1,0)</f>
        <v>0</v>
      </c>
      <c r="BQ76" s="157">
        <f t="shared" ref="BQ76:BQ78" si="138">IF(U76&gt;0,1,0)</f>
        <v>0</v>
      </c>
      <c r="BR76" s="157">
        <f t="shared" ref="BR76:BR78" si="139">IF(AA76&gt;0,1,0)</f>
        <v>0</v>
      </c>
      <c r="BS76" s="157">
        <f t="shared" ref="BS76:BS78" si="140">IF(AD76&gt;0,1,0)</f>
        <v>0</v>
      </c>
      <c r="BT76" s="7"/>
    </row>
    <row r="77" s="9" customFormat="1" ht="77.25" customHeight="1" spans="1:72">
      <c r="A77" s="23">
        <f>SUBTOTAL(3,C$7:C77)</f>
        <v>53</v>
      </c>
      <c r="B77" s="690" t="s">
        <v>1336</v>
      </c>
      <c r="C77" s="646" t="s">
        <v>562</v>
      </c>
      <c r="D77" s="691" t="s">
        <v>1337</v>
      </c>
      <c r="E77" s="692" t="s">
        <v>575</v>
      </c>
      <c r="F77" s="692">
        <v>8471</v>
      </c>
      <c r="G77" s="692">
        <v>200</v>
      </c>
      <c r="H77" s="123" t="s">
        <v>2333</v>
      </c>
      <c r="I77" s="698">
        <v>300</v>
      </c>
      <c r="J77" s="698">
        <v>2500</v>
      </c>
      <c r="K77" s="698">
        <v>4000</v>
      </c>
      <c r="L77" s="699">
        <v>5000</v>
      </c>
      <c r="M77" s="689"/>
      <c r="N77" s="67"/>
      <c r="O77" s="67"/>
      <c r="P77" s="688"/>
      <c r="Q77" s="90"/>
      <c r="R77" s="132"/>
      <c r="S77" s="132"/>
      <c r="T77" s="132"/>
      <c r="U77" s="132"/>
      <c r="V77" s="132"/>
      <c r="W77" s="132"/>
      <c r="X77" s="132"/>
      <c r="Y77" s="132"/>
      <c r="Z77" s="132"/>
      <c r="AA77" s="132"/>
      <c r="AB77" s="132"/>
      <c r="AC77" s="132"/>
      <c r="AD77" s="132"/>
      <c r="AE77" s="132"/>
      <c r="AF77" s="132"/>
      <c r="AG77" s="132"/>
      <c r="AH77" s="132"/>
      <c r="AI77" s="90"/>
      <c r="AJ77" s="90" t="s">
        <v>117</v>
      </c>
      <c r="AK77" s="123" t="s">
        <v>1321</v>
      </c>
      <c r="AL77" s="692" t="s">
        <v>2334</v>
      </c>
      <c r="AM77" s="35" t="s">
        <v>269</v>
      </c>
      <c r="AN77" s="91"/>
      <c r="AO77" s="165"/>
      <c r="AP77" s="158" t="s">
        <v>2016</v>
      </c>
      <c r="AQ77" s="158" t="s">
        <v>2017</v>
      </c>
      <c r="AR77" s="158" t="str">
        <f t="shared" si="130"/>
        <v>城市基础设施生态环保</v>
      </c>
      <c r="AS77" s="158" t="s">
        <v>2018</v>
      </c>
      <c r="AT77" s="158"/>
      <c r="AU77" s="165"/>
      <c r="AV77" s="169"/>
      <c r="AW77" s="165"/>
      <c r="AX77" s="165"/>
      <c r="AY77" s="165"/>
      <c r="AZ77" s="165"/>
      <c r="BA77" s="165"/>
      <c r="BB77" s="169"/>
      <c r="BC77" s="169"/>
      <c r="BD77" s="169"/>
      <c r="BE77" s="165"/>
      <c r="BF77" s="202" t="s">
        <v>205</v>
      </c>
      <c r="BG77" s="203" t="s">
        <v>1980</v>
      </c>
      <c r="BH77" s="201" t="str">
        <f t="shared" si="131"/>
        <v>政府灵山县人民政府</v>
      </c>
      <c r="BI77" s="201" t="str">
        <f t="shared" si="132"/>
        <v>基础设施灵山县人民政府</v>
      </c>
      <c r="BK77" s="157" t="str">
        <f t="shared" si="133"/>
        <v>城市基础设施生态环保1000</v>
      </c>
      <c r="BL77" s="157" t="str">
        <f t="shared" si="134"/>
        <v>城市基础设施生态环保2000</v>
      </c>
      <c r="BM77" s="157" t="str">
        <f t="shared" si="135"/>
        <v>城市基础设施生态环保5000</v>
      </c>
      <c r="BN77" s="659"/>
      <c r="BO77" s="157">
        <f t="shared" si="136"/>
        <v>0</v>
      </c>
      <c r="BP77" s="157">
        <f t="shared" si="137"/>
        <v>0</v>
      </c>
      <c r="BQ77" s="157">
        <f t="shared" si="138"/>
        <v>0</v>
      </c>
      <c r="BR77" s="157">
        <f t="shared" si="139"/>
        <v>0</v>
      </c>
      <c r="BS77" s="157">
        <f t="shared" si="140"/>
        <v>0</v>
      </c>
      <c r="BT77" s="7"/>
    </row>
    <row r="78" ht="69.75" customHeight="1" spans="1:85">
      <c r="A78" s="23">
        <f>SUBTOTAL(3,C$7:C78)</f>
        <v>54</v>
      </c>
      <c r="B78" s="243" t="s">
        <v>1080</v>
      </c>
      <c r="C78" s="646" t="s">
        <v>562</v>
      </c>
      <c r="D78" s="232" t="s">
        <v>1081</v>
      </c>
      <c r="E78" s="35" t="s">
        <v>575</v>
      </c>
      <c r="F78" s="35">
        <v>8382</v>
      </c>
      <c r="G78" s="35">
        <v>5200</v>
      </c>
      <c r="H78" s="123" t="s">
        <v>1082</v>
      </c>
      <c r="I78" s="67">
        <v>800</v>
      </c>
      <c r="J78" s="67">
        <v>1500</v>
      </c>
      <c r="K78" s="67">
        <v>2200</v>
      </c>
      <c r="L78" s="35">
        <v>3000</v>
      </c>
      <c r="M78" s="35"/>
      <c r="N78" s="111"/>
      <c r="O78" s="67"/>
      <c r="P78" s="700" t="s">
        <v>2335</v>
      </c>
      <c r="Q78" s="90" t="s">
        <v>2336</v>
      </c>
      <c r="R78" s="132"/>
      <c r="S78" s="132"/>
      <c r="T78" s="132"/>
      <c r="U78" s="132"/>
      <c r="V78" s="132"/>
      <c r="W78" s="132"/>
      <c r="X78" s="132"/>
      <c r="Y78" s="132"/>
      <c r="Z78" s="132"/>
      <c r="AA78" s="132"/>
      <c r="AB78" s="132"/>
      <c r="AC78" s="132"/>
      <c r="AD78" s="132"/>
      <c r="AE78" s="132"/>
      <c r="AF78" s="132"/>
      <c r="AG78" s="132"/>
      <c r="AH78" s="132"/>
      <c r="AI78" s="90"/>
      <c r="AJ78" s="90" t="s">
        <v>117</v>
      </c>
      <c r="AK78" s="34" t="s">
        <v>2337</v>
      </c>
      <c r="AL78" s="67" t="s">
        <v>2338</v>
      </c>
      <c r="AM78" s="35" t="s">
        <v>317</v>
      </c>
      <c r="AN78" s="91"/>
      <c r="AO78" s="157"/>
      <c r="AP78" s="158" t="s">
        <v>2016</v>
      </c>
      <c r="AQ78" s="158" t="s">
        <v>2017</v>
      </c>
      <c r="AR78" s="158" t="str">
        <f t="shared" si="130"/>
        <v>城市基础设施生态环保</v>
      </c>
      <c r="AS78" s="158" t="s">
        <v>2018</v>
      </c>
      <c r="AT78" s="158"/>
      <c r="AU78" s="161"/>
      <c r="AV78" s="161"/>
      <c r="AW78" s="160"/>
      <c r="AX78" s="157"/>
      <c r="AY78" s="157"/>
      <c r="AZ78" s="157"/>
      <c r="BA78" s="157"/>
      <c r="BB78" s="157"/>
      <c r="BC78" s="157"/>
      <c r="BD78" s="157"/>
      <c r="BE78" s="157"/>
      <c r="BF78" s="202" t="s">
        <v>205</v>
      </c>
      <c r="BG78" s="203" t="s">
        <v>1980</v>
      </c>
      <c r="BH78" s="201" t="str">
        <f t="shared" si="131"/>
        <v>政府浦北县人民政府</v>
      </c>
      <c r="BI78" s="201" t="str">
        <f t="shared" si="132"/>
        <v>基础设施浦北县人民政府</v>
      </c>
      <c r="BJ78" s="204">
        <f t="shared" ref="BJ78:BJ81" si="141">IF(N78&gt;0,1,0)</f>
        <v>0</v>
      </c>
      <c r="BK78" s="157" t="str">
        <f t="shared" si="133"/>
        <v>城市基础设施生态环保1000</v>
      </c>
      <c r="BL78" s="157" t="str">
        <f t="shared" si="134"/>
        <v>城市基础设施生态环保2000</v>
      </c>
      <c r="BM78" s="157" t="str">
        <f t="shared" si="135"/>
        <v/>
      </c>
      <c r="BN78" s="157"/>
      <c r="BO78" s="157">
        <f t="shared" si="136"/>
        <v>0</v>
      </c>
      <c r="BP78" s="157">
        <f t="shared" si="137"/>
        <v>0</v>
      </c>
      <c r="BQ78" s="157">
        <f t="shared" si="138"/>
        <v>0</v>
      </c>
      <c r="BR78" s="157">
        <f t="shared" si="139"/>
        <v>0</v>
      </c>
      <c r="BS78" s="157">
        <f t="shared" si="140"/>
        <v>0</v>
      </c>
      <c r="BT78" s="181"/>
      <c r="BU78" s="206"/>
      <c r="BX78" s="206"/>
      <c r="CB78" s="4"/>
      <c r="CC78" s="4"/>
      <c r="CD78" s="4"/>
      <c r="CE78" s="4"/>
      <c r="CF78" s="4"/>
      <c r="CG78" s="4"/>
    </row>
    <row r="79" s="9" customFormat="1" ht="24" customHeight="1" spans="1:72">
      <c r="A79" s="551"/>
      <c r="B79" s="557" t="str">
        <f>"路网工程（"&amp;SUBTOTAL(3,C80:C94)&amp;"个）"</f>
        <v>路网工程（15个）</v>
      </c>
      <c r="C79" s="551"/>
      <c r="D79" s="554"/>
      <c r="E79" s="551"/>
      <c r="F79" s="134">
        <f t="shared" ref="F79:M79" si="142">SUBTOTAL(9,F80:F94)</f>
        <v>210573.46</v>
      </c>
      <c r="G79" s="134">
        <f t="shared" si="142"/>
        <v>66221</v>
      </c>
      <c r="H79" s="134"/>
      <c r="I79" s="134">
        <f t="shared" si="142"/>
        <v>4000</v>
      </c>
      <c r="J79" s="134">
        <f t="shared" si="142"/>
        <v>11550</v>
      </c>
      <c r="K79" s="134">
        <f t="shared" si="142"/>
        <v>21970</v>
      </c>
      <c r="L79" s="134">
        <f t="shared" si="142"/>
        <v>30546</v>
      </c>
      <c r="M79" s="134">
        <f t="shared" si="142"/>
        <v>0</v>
      </c>
      <c r="N79" s="134"/>
      <c r="O79" s="134"/>
      <c r="P79" s="674"/>
      <c r="Q79" s="90"/>
      <c r="R79" s="132"/>
      <c r="S79" s="132"/>
      <c r="T79" s="132"/>
      <c r="U79" s="132"/>
      <c r="V79" s="132"/>
      <c r="W79" s="132"/>
      <c r="X79" s="132"/>
      <c r="Y79" s="132"/>
      <c r="Z79" s="132"/>
      <c r="AA79" s="132"/>
      <c r="AB79" s="132"/>
      <c r="AC79" s="132"/>
      <c r="AD79" s="132"/>
      <c r="AE79" s="132"/>
      <c r="AF79" s="132"/>
      <c r="AG79" s="132"/>
      <c r="AH79" s="132"/>
      <c r="AI79" s="90"/>
      <c r="AJ79" s="90"/>
      <c r="AK79" s="591"/>
      <c r="AL79" s="134"/>
      <c r="AM79" s="134"/>
      <c r="AN79" s="91"/>
      <c r="AO79" s="165"/>
      <c r="AP79" s="158"/>
      <c r="AQ79" s="158"/>
      <c r="AR79" s="158"/>
      <c r="AS79" s="158"/>
      <c r="AT79" s="158"/>
      <c r="AU79" s="165"/>
      <c r="AV79" s="169"/>
      <c r="AW79" s="165"/>
      <c r="AX79" s="165"/>
      <c r="AY79" s="165"/>
      <c r="AZ79" s="165"/>
      <c r="BA79" s="165"/>
      <c r="BB79" s="169"/>
      <c r="BC79" s="169"/>
      <c r="BD79" s="169"/>
      <c r="BE79" s="165"/>
      <c r="BF79" s="201"/>
      <c r="BG79" s="685"/>
      <c r="BK79" s="201"/>
      <c r="BL79" s="201"/>
      <c r="BM79" s="201"/>
      <c r="BN79" s="201"/>
      <c r="BO79" s="201"/>
      <c r="BP79" s="201"/>
      <c r="BQ79" s="201"/>
      <c r="BR79" s="201"/>
      <c r="BS79" s="201"/>
      <c r="BT79" s="181"/>
    </row>
    <row r="80" ht="90.75" customHeight="1" spans="1:85">
      <c r="A80" s="23">
        <f>SUBTOTAL(3,C$7:C80)</f>
        <v>55</v>
      </c>
      <c r="B80" s="55" t="s">
        <v>1255</v>
      </c>
      <c r="C80" s="646" t="s">
        <v>562</v>
      </c>
      <c r="D80" s="55" t="s">
        <v>1256</v>
      </c>
      <c r="E80" s="35" t="s">
        <v>627</v>
      </c>
      <c r="F80" s="36">
        <v>11414</v>
      </c>
      <c r="G80" s="36">
        <v>5846</v>
      </c>
      <c r="H80" s="131" t="s">
        <v>2339</v>
      </c>
      <c r="I80" s="81"/>
      <c r="J80" s="257">
        <v>500</v>
      </c>
      <c r="K80" s="257">
        <v>1000</v>
      </c>
      <c r="L80" s="257">
        <v>2000</v>
      </c>
      <c r="M80" s="67"/>
      <c r="N80" s="111"/>
      <c r="O80" s="67"/>
      <c r="P80" s="674" t="s">
        <v>2340</v>
      </c>
      <c r="Q80" s="90" t="s">
        <v>2341</v>
      </c>
      <c r="R80" s="132">
        <v>250</v>
      </c>
      <c r="S80" s="132">
        <v>229</v>
      </c>
      <c r="T80" s="132">
        <v>21</v>
      </c>
      <c r="U80" s="132"/>
      <c r="V80" s="132"/>
      <c r="W80" s="132"/>
      <c r="X80" s="132"/>
      <c r="Y80" s="132"/>
      <c r="Z80" s="132"/>
      <c r="AA80" s="132">
        <v>250</v>
      </c>
      <c r="AB80" s="132">
        <v>240</v>
      </c>
      <c r="AC80" s="132">
        <v>10</v>
      </c>
      <c r="AD80" s="132">
        <v>1000</v>
      </c>
      <c r="AE80" s="132"/>
      <c r="AF80" s="132"/>
      <c r="AG80" s="132"/>
      <c r="AH80" s="132">
        <v>1000</v>
      </c>
      <c r="AI80" s="90"/>
      <c r="AJ80" s="674" t="s">
        <v>1258</v>
      </c>
      <c r="AK80" s="123" t="s">
        <v>455</v>
      </c>
      <c r="AL80" s="67" t="s">
        <v>2342</v>
      </c>
      <c r="AM80" s="67" t="s">
        <v>979</v>
      </c>
      <c r="AN80" s="34"/>
      <c r="AO80" s="157"/>
      <c r="AP80" s="158" t="s">
        <v>2020</v>
      </c>
      <c r="AQ80" s="158" t="s">
        <v>2017</v>
      </c>
      <c r="AR80" s="158" t="str">
        <f>AQ80&amp;AP80</f>
        <v>城市基础设施路网工程</v>
      </c>
      <c r="AS80" s="158" t="s">
        <v>2021</v>
      </c>
      <c r="AT80" s="158"/>
      <c r="AU80" s="161"/>
      <c r="AV80" s="161"/>
      <c r="AW80" s="160"/>
      <c r="AX80" s="157"/>
      <c r="AY80" s="157"/>
      <c r="AZ80" s="157"/>
      <c r="BA80" s="157"/>
      <c r="BB80" s="157"/>
      <c r="BC80" s="157"/>
      <c r="BD80" s="157"/>
      <c r="BE80" s="157"/>
      <c r="BF80" s="202" t="s">
        <v>205</v>
      </c>
      <c r="BG80" s="203" t="s">
        <v>1980</v>
      </c>
      <c r="BH80" s="201" t="str">
        <f>BF80&amp;AM80</f>
        <v>政府市住房城乡建设局</v>
      </c>
      <c r="BI80" s="201" t="str">
        <f>BG80&amp;AM80</f>
        <v>基础设施市住房城乡建设局</v>
      </c>
      <c r="BJ80" s="204">
        <f t="shared" si="141"/>
        <v>0</v>
      </c>
      <c r="BK80" s="157" t="str">
        <f>IF(L80&lt;1000,"",AR80&amp;"1000")</f>
        <v>城市基础设施路网工程1000</v>
      </c>
      <c r="BL80" s="157" t="str">
        <f>IF(L80&lt;2000,"",AR80&amp;"2000")</f>
        <v>城市基础设施路网工程2000</v>
      </c>
      <c r="BM80" s="157" t="str">
        <f>IF(L80&lt;5000,"",AR80&amp;"5000")</f>
        <v/>
      </c>
      <c r="BN80" s="157"/>
      <c r="BO80" s="157">
        <f>IF(R80&gt;0,1,0)</f>
        <v>1</v>
      </c>
      <c r="BP80" s="157">
        <f>IF(X80&gt;0,1,0)</f>
        <v>0</v>
      </c>
      <c r="BQ80" s="157">
        <f>IF(U80&gt;0,1,0)</f>
        <v>0</v>
      </c>
      <c r="BR80" s="157">
        <f>IF(AA80&gt;0,1,0)</f>
        <v>1</v>
      </c>
      <c r="BS80" s="157">
        <f>IF(AD80&gt;0,1,0)</f>
        <v>1</v>
      </c>
      <c r="BT80" s="181"/>
      <c r="BU80" s="206"/>
      <c r="BW80" s="7"/>
      <c r="BX80" s="7"/>
      <c r="BY80" s="7"/>
      <c r="BZ80" s="7"/>
      <c r="CA80" s="7"/>
      <c r="CB80" s="4"/>
      <c r="CC80" s="4"/>
      <c r="CD80" s="4"/>
      <c r="CE80" s="4"/>
      <c r="CF80" s="4"/>
      <c r="CG80" s="4"/>
    </row>
    <row r="81" ht="71.25" customHeight="1" spans="1:85">
      <c r="A81" s="23">
        <f>SUBTOTAL(3,C$7:C81)</f>
        <v>56</v>
      </c>
      <c r="B81" s="60" t="s">
        <v>1259</v>
      </c>
      <c r="C81" s="76" t="s">
        <v>562</v>
      </c>
      <c r="D81" s="88" t="s">
        <v>1260</v>
      </c>
      <c r="E81" s="23" t="s">
        <v>564</v>
      </c>
      <c r="F81" s="67">
        <v>11419</v>
      </c>
      <c r="G81" s="67">
        <v>2123</v>
      </c>
      <c r="H81" s="123" t="s">
        <v>2343</v>
      </c>
      <c r="I81" s="67">
        <v>200</v>
      </c>
      <c r="J81" s="67">
        <v>500</v>
      </c>
      <c r="K81" s="67">
        <v>800</v>
      </c>
      <c r="L81" s="67">
        <v>1000</v>
      </c>
      <c r="M81" s="67"/>
      <c r="N81" s="111"/>
      <c r="O81" s="67"/>
      <c r="P81" s="674" t="s">
        <v>2344</v>
      </c>
      <c r="Q81" s="90" t="s">
        <v>2345</v>
      </c>
      <c r="R81" s="132">
        <v>250</v>
      </c>
      <c r="S81" s="132">
        <v>229</v>
      </c>
      <c r="T81" s="132">
        <v>21</v>
      </c>
      <c r="U81" s="132"/>
      <c r="V81" s="132"/>
      <c r="W81" s="132"/>
      <c r="X81" s="132"/>
      <c r="Y81" s="132"/>
      <c r="Z81" s="132"/>
      <c r="AA81" s="132">
        <v>250</v>
      </c>
      <c r="AB81" s="132">
        <v>240</v>
      </c>
      <c r="AC81" s="132">
        <v>10</v>
      </c>
      <c r="AD81" s="132">
        <v>1000</v>
      </c>
      <c r="AE81" s="132"/>
      <c r="AF81" s="132"/>
      <c r="AG81" s="132"/>
      <c r="AH81" s="132">
        <v>1000</v>
      </c>
      <c r="AI81" s="90"/>
      <c r="AJ81" s="90" t="s">
        <v>2346</v>
      </c>
      <c r="AK81" s="123" t="s">
        <v>455</v>
      </c>
      <c r="AL81" s="67" t="s">
        <v>2347</v>
      </c>
      <c r="AM81" s="67" t="s">
        <v>979</v>
      </c>
      <c r="AN81" s="34"/>
      <c r="AO81" s="157"/>
      <c r="AP81" s="158" t="s">
        <v>2020</v>
      </c>
      <c r="AQ81" s="158" t="s">
        <v>2017</v>
      </c>
      <c r="AR81" s="158" t="str">
        <f>AQ81&amp;AP81</f>
        <v>城市基础设施路网工程</v>
      </c>
      <c r="AS81" s="158" t="s">
        <v>2021</v>
      </c>
      <c r="AT81" s="158"/>
      <c r="AU81" s="161"/>
      <c r="AV81" s="161"/>
      <c r="AW81" s="160"/>
      <c r="AX81" s="157"/>
      <c r="AY81" s="157"/>
      <c r="AZ81" s="157"/>
      <c r="BA81" s="157"/>
      <c r="BB81" s="157"/>
      <c r="BC81" s="157"/>
      <c r="BD81" s="157"/>
      <c r="BE81" s="157"/>
      <c r="BF81" s="202" t="s">
        <v>205</v>
      </c>
      <c r="BG81" s="203" t="s">
        <v>1980</v>
      </c>
      <c r="BH81" s="201" t="str">
        <f>BF81&amp;AM81</f>
        <v>政府市住房城乡建设局</v>
      </c>
      <c r="BI81" s="201" t="str">
        <f>BG81&amp;AM81</f>
        <v>基础设施市住房城乡建设局</v>
      </c>
      <c r="BJ81" s="204">
        <f t="shared" si="141"/>
        <v>0</v>
      </c>
      <c r="BK81" s="157" t="str">
        <f>IF(L81&lt;1000,"",AR81&amp;"1000")</f>
        <v>城市基础设施路网工程1000</v>
      </c>
      <c r="BL81" s="157" t="str">
        <f>IF(L81&lt;2000,"",AR81&amp;"2000")</f>
        <v/>
      </c>
      <c r="BM81" s="157" t="str">
        <f>IF(L81&lt;5000,"",AR81&amp;"5000")</f>
        <v/>
      </c>
      <c r="BN81" s="157"/>
      <c r="BO81" s="157">
        <f t="shared" ref="BO81:BO94" si="143">IF(R81&gt;0,1,0)</f>
        <v>1</v>
      </c>
      <c r="BP81" s="157">
        <f t="shared" ref="BP81:BP94" si="144">IF(X81&gt;0,1,0)</f>
        <v>0</v>
      </c>
      <c r="BQ81" s="157">
        <f t="shared" ref="BQ81:BQ94" si="145">IF(U81&gt;0,1,0)</f>
        <v>0</v>
      </c>
      <c r="BR81" s="157">
        <f t="shared" ref="BR81:BR94" si="146">IF(AA81&gt;0,1,0)</f>
        <v>1</v>
      </c>
      <c r="BS81" s="157">
        <f t="shared" ref="BS81:BS94" si="147">IF(AD81&gt;0,1,0)</f>
        <v>1</v>
      </c>
      <c r="BT81" s="181"/>
      <c r="BU81" s="206"/>
      <c r="BW81" s="7"/>
      <c r="BX81" s="7"/>
      <c r="BY81" s="7"/>
      <c r="BZ81" s="7"/>
      <c r="CA81" s="7"/>
      <c r="CB81" s="4"/>
      <c r="CC81" s="4"/>
      <c r="CD81" s="4"/>
      <c r="CE81" s="4"/>
      <c r="CF81" s="4"/>
      <c r="CG81" s="4"/>
    </row>
    <row r="82" ht="71.25" customHeight="1" spans="1:85">
      <c r="A82" s="23">
        <f>SUBTOTAL(3,C$7:C82)</f>
        <v>57</v>
      </c>
      <c r="B82" s="55" t="s">
        <v>1287</v>
      </c>
      <c r="C82" s="76" t="s">
        <v>562</v>
      </c>
      <c r="D82" s="55" t="s">
        <v>1288</v>
      </c>
      <c r="E82" s="693" t="s">
        <v>575</v>
      </c>
      <c r="F82" s="38">
        <v>35390.65</v>
      </c>
      <c r="G82" s="38">
        <v>3085</v>
      </c>
      <c r="H82" s="123" t="s">
        <v>1289</v>
      </c>
      <c r="I82" s="67">
        <v>500</v>
      </c>
      <c r="J82" s="67">
        <v>1000</v>
      </c>
      <c r="K82" s="67">
        <v>2000</v>
      </c>
      <c r="L82" s="36">
        <v>3000</v>
      </c>
      <c r="M82" s="36"/>
      <c r="N82" s="111"/>
      <c r="O82" s="67"/>
      <c r="P82" s="701" t="s">
        <v>2348</v>
      </c>
      <c r="Q82" s="90" t="s">
        <v>2349</v>
      </c>
      <c r="R82" s="132"/>
      <c r="S82" s="132">
        <v>41.883</v>
      </c>
      <c r="T82" s="132"/>
      <c r="U82" s="132">
        <f>7.2679*15</f>
        <v>109.0185</v>
      </c>
      <c r="V82" s="132">
        <v>109.0185</v>
      </c>
      <c r="W82" s="132"/>
      <c r="X82" s="132"/>
      <c r="Y82" s="132"/>
      <c r="Z82" s="132"/>
      <c r="AA82" s="132">
        <v>55</v>
      </c>
      <c r="AB82" s="132"/>
      <c r="AC82" s="132">
        <v>55</v>
      </c>
      <c r="AD82" s="132">
        <v>3000</v>
      </c>
      <c r="AE82" s="132"/>
      <c r="AF82" s="132"/>
      <c r="AG82" s="132"/>
      <c r="AH82" s="132">
        <v>3000</v>
      </c>
      <c r="AI82" s="90"/>
      <c r="AJ82" s="701" t="s">
        <v>1290</v>
      </c>
      <c r="AK82" s="34" t="s">
        <v>1040</v>
      </c>
      <c r="AL82" s="35" t="s">
        <v>2027</v>
      </c>
      <c r="AM82" s="35" t="s">
        <v>498</v>
      </c>
      <c r="AN82" s="34"/>
      <c r="AO82" s="157"/>
      <c r="AP82" s="158" t="s">
        <v>2020</v>
      </c>
      <c r="AQ82" s="158" t="s">
        <v>2017</v>
      </c>
      <c r="AR82" s="158" t="str">
        <f t="shared" ref="AR82:AR94" si="148">AQ82&amp;AP82</f>
        <v>城市基础设施路网工程</v>
      </c>
      <c r="AS82" s="158" t="s">
        <v>2021</v>
      </c>
      <c r="AT82" s="158"/>
      <c r="AU82" s="161"/>
      <c r="AV82" s="161"/>
      <c r="AW82" s="160"/>
      <c r="AX82" s="157"/>
      <c r="AY82" s="157"/>
      <c r="AZ82" s="157"/>
      <c r="BA82" s="157"/>
      <c r="BB82" s="157"/>
      <c r="BC82" s="157"/>
      <c r="BD82" s="157"/>
      <c r="BE82" s="157"/>
      <c r="BF82" s="202" t="s">
        <v>205</v>
      </c>
      <c r="BG82" s="203" t="s">
        <v>1980</v>
      </c>
      <c r="BH82" s="201" t="str">
        <f t="shared" ref="BH82:BH94" si="149">BF82&amp;AM82</f>
        <v>政府市滨海新城管委</v>
      </c>
      <c r="BI82" s="201" t="str">
        <f t="shared" ref="BI82:BI94" si="150">BG82&amp;AM82</f>
        <v>基础设施市滨海新城管委</v>
      </c>
      <c r="BJ82" s="204">
        <f t="shared" ref="BJ82:BJ94" si="151">IF(N82&gt;0,1,0)</f>
        <v>0</v>
      </c>
      <c r="BK82" s="157" t="str">
        <f t="shared" ref="BK82:BK94" si="152">IF(L82&lt;1000,"",AR82&amp;"1000")</f>
        <v>城市基础设施路网工程1000</v>
      </c>
      <c r="BL82" s="157" t="str">
        <f t="shared" ref="BL82:BL94" si="153">IF(L82&lt;2000,"",AR82&amp;"2000")</f>
        <v>城市基础设施路网工程2000</v>
      </c>
      <c r="BM82" s="157" t="str">
        <f t="shared" ref="BM82:BM94" si="154">IF(L82&lt;5000,"",AR82&amp;"5000")</f>
        <v/>
      </c>
      <c r="BN82" s="157"/>
      <c r="BO82" s="157">
        <f t="shared" si="143"/>
        <v>0</v>
      </c>
      <c r="BP82" s="157">
        <f t="shared" si="144"/>
        <v>0</v>
      </c>
      <c r="BQ82" s="157">
        <f t="shared" si="145"/>
        <v>1</v>
      </c>
      <c r="BR82" s="157">
        <f t="shared" si="146"/>
        <v>1</v>
      </c>
      <c r="BS82" s="157">
        <f t="shared" si="147"/>
        <v>1</v>
      </c>
      <c r="BT82" s="181"/>
      <c r="BU82" s="206"/>
      <c r="BW82" s="7"/>
      <c r="BX82" s="7"/>
      <c r="BY82" s="7"/>
      <c r="BZ82" s="7"/>
      <c r="CA82" s="7"/>
      <c r="CB82" s="4"/>
      <c r="CC82" s="4"/>
      <c r="CD82" s="4"/>
      <c r="CE82" s="4"/>
      <c r="CF82" s="4"/>
      <c r="CG82" s="4"/>
    </row>
    <row r="83" ht="77.25" customHeight="1" spans="1:85">
      <c r="A83" s="23">
        <f>SUBTOTAL(3,C$7:C83)</f>
        <v>58</v>
      </c>
      <c r="B83" s="665" t="s">
        <v>1291</v>
      </c>
      <c r="C83" s="76" t="s">
        <v>562</v>
      </c>
      <c r="D83" s="55" t="s">
        <v>1292</v>
      </c>
      <c r="E83" s="693" t="s">
        <v>661</v>
      </c>
      <c r="F83" s="38">
        <v>32146.96</v>
      </c>
      <c r="G83" s="38">
        <v>1153</v>
      </c>
      <c r="H83" s="123" t="s">
        <v>1293</v>
      </c>
      <c r="I83" s="67">
        <v>500</v>
      </c>
      <c r="J83" s="67">
        <v>1000</v>
      </c>
      <c r="K83" s="702">
        <v>2700</v>
      </c>
      <c r="L83" s="703">
        <v>4413</v>
      </c>
      <c r="M83" s="36"/>
      <c r="N83" s="111"/>
      <c r="O83" s="67"/>
      <c r="P83" s="90" t="s">
        <v>2350</v>
      </c>
      <c r="Q83" s="90" t="s">
        <v>2351</v>
      </c>
      <c r="R83" s="132">
        <f>13.67*15</f>
        <v>205.05</v>
      </c>
      <c r="S83" s="132"/>
      <c r="T83" s="132">
        <f t="shared" ref="T83:T89" si="155">R83-S83</f>
        <v>205.05</v>
      </c>
      <c r="U83" s="711">
        <v>17.7585</v>
      </c>
      <c r="V83" s="132">
        <f>1.1839*15</f>
        <v>17.7585</v>
      </c>
      <c r="W83" s="132"/>
      <c r="X83" s="132"/>
      <c r="Y83" s="132"/>
      <c r="Z83" s="132"/>
      <c r="AA83" s="132">
        <v>124</v>
      </c>
      <c r="AB83" s="132"/>
      <c r="AC83" s="132">
        <v>124</v>
      </c>
      <c r="AD83" s="132">
        <v>2000</v>
      </c>
      <c r="AE83" s="132"/>
      <c r="AF83" s="132"/>
      <c r="AG83" s="132"/>
      <c r="AH83" s="132">
        <v>2000</v>
      </c>
      <c r="AI83" s="90"/>
      <c r="AJ83" s="90" t="s">
        <v>1045</v>
      </c>
      <c r="AK83" s="34" t="s">
        <v>1040</v>
      </c>
      <c r="AL83" s="35" t="s">
        <v>2027</v>
      </c>
      <c r="AM83" s="35" t="s">
        <v>498</v>
      </c>
      <c r="AN83" s="34"/>
      <c r="AO83" s="157"/>
      <c r="AP83" s="158" t="s">
        <v>2020</v>
      </c>
      <c r="AQ83" s="158" t="s">
        <v>2017</v>
      </c>
      <c r="AR83" s="158" t="str">
        <f t="shared" si="148"/>
        <v>城市基础设施路网工程</v>
      </c>
      <c r="AS83" s="158" t="s">
        <v>2021</v>
      </c>
      <c r="AT83" s="158"/>
      <c r="AU83" s="161"/>
      <c r="AV83" s="161"/>
      <c r="AW83" s="160"/>
      <c r="AX83" s="157"/>
      <c r="AY83" s="157"/>
      <c r="AZ83" s="157"/>
      <c r="BA83" s="157"/>
      <c r="BB83" s="157"/>
      <c r="BC83" s="157"/>
      <c r="BD83" s="157"/>
      <c r="BE83" s="157"/>
      <c r="BF83" s="202" t="s">
        <v>205</v>
      </c>
      <c r="BG83" s="203" t="s">
        <v>1980</v>
      </c>
      <c r="BH83" s="201" t="str">
        <f t="shared" si="149"/>
        <v>政府市滨海新城管委</v>
      </c>
      <c r="BI83" s="201" t="str">
        <f t="shared" si="150"/>
        <v>基础设施市滨海新城管委</v>
      </c>
      <c r="BJ83" s="204">
        <f t="shared" si="151"/>
        <v>0</v>
      </c>
      <c r="BK83" s="157" t="str">
        <f t="shared" si="152"/>
        <v>城市基础设施路网工程1000</v>
      </c>
      <c r="BL83" s="157" t="str">
        <f t="shared" si="153"/>
        <v>城市基础设施路网工程2000</v>
      </c>
      <c r="BM83" s="157" t="str">
        <f t="shared" si="154"/>
        <v/>
      </c>
      <c r="BN83" s="157"/>
      <c r="BO83" s="157">
        <f t="shared" si="143"/>
        <v>1</v>
      </c>
      <c r="BP83" s="157">
        <f t="shared" si="144"/>
        <v>0</v>
      </c>
      <c r="BQ83" s="157">
        <f t="shared" si="145"/>
        <v>1</v>
      </c>
      <c r="BR83" s="157">
        <f t="shared" si="146"/>
        <v>1</v>
      </c>
      <c r="BS83" s="157">
        <f t="shared" si="147"/>
        <v>1</v>
      </c>
      <c r="BT83" s="181"/>
      <c r="BU83" s="206"/>
      <c r="BW83" s="7"/>
      <c r="BX83" s="7"/>
      <c r="BY83" s="7"/>
      <c r="BZ83" s="7"/>
      <c r="CA83" s="7"/>
      <c r="CB83" s="4"/>
      <c r="CC83" s="4"/>
      <c r="CD83" s="4"/>
      <c r="CE83" s="4"/>
      <c r="CF83" s="4"/>
      <c r="CG83" s="4"/>
    </row>
    <row r="84" ht="80.25" customHeight="1" spans="1:85">
      <c r="A84" s="23">
        <f>SUBTOTAL(3,C$7:C84)</f>
        <v>59</v>
      </c>
      <c r="B84" s="561" t="s">
        <v>1036</v>
      </c>
      <c r="C84" s="76" t="s">
        <v>562</v>
      </c>
      <c r="D84" s="55" t="s">
        <v>1037</v>
      </c>
      <c r="E84" s="77" t="s">
        <v>1038</v>
      </c>
      <c r="F84" s="38">
        <v>30436.85</v>
      </c>
      <c r="G84" s="36">
        <v>25194</v>
      </c>
      <c r="H84" s="123" t="s">
        <v>1039</v>
      </c>
      <c r="I84" s="67">
        <v>600</v>
      </c>
      <c r="J84" s="67">
        <v>1000</v>
      </c>
      <c r="K84" s="67">
        <v>1800</v>
      </c>
      <c r="L84" s="36">
        <v>2000</v>
      </c>
      <c r="M84" s="36"/>
      <c r="N84" s="111"/>
      <c r="O84" s="67"/>
      <c r="P84" s="90" t="s">
        <v>2352</v>
      </c>
      <c r="Q84" s="137" t="s">
        <v>117</v>
      </c>
      <c r="R84" s="115">
        <v>219.3</v>
      </c>
      <c r="S84" s="115">
        <v>219.3</v>
      </c>
      <c r="T84" s="132"/>
      <c r="U84" s="115"/>
      <c r="V84" s="115"/>
      <c r="W84" s="132"/>
      <c r="X84" s="115"/>
      <c r="Y84" s="115"/>
      <c r="Z84" s="115"/>
      <c r="AA84" s="115"/>
      <c r="AB84" s="115"/>
      <c r="AC84" s="115"/>
      <c r="AD84" s="115">
        <v>2000</v>
      </c>
      <c r="AE84" s="115"/>
      <c r="AF84" s="115"/>
      <c r="AG84" s="115"/>
      <c r="AH84" s="115">
        <v>2000</v>
      </c>
      <c r="AI84" s="90"/>
      <c r="AJ84" s="90" t="s">
        <v>117</v>
      </c>
      <c r="AK84" s="34" t="s">
        <v>1040</v>
      </c>
      <c r="AL84" s="35" t="s">
        <v>2027</v>
      </c>
      <c r="AM84" s="35" t="s">
        <v>498</v>
      </c>
      <c r="AN84" s="34"/>
      <c r="AO84" s="157"/>
      <c r="AP84" s="158" t="s">
        <v>2020</v>
      </c>
      <c r="AQ84" s="158" t="s">
        <v>2017</v>
      </c>
      <c r="AR84" s="158" t="str">
        <f t="shared" si="148"/>
        <v>城市基础设施路网工程</v>
      </c>
      <c r="AS84" s="158" t="s">
        <v>2021</v>
      </c>
      <c r="AT84" s="158"/>
      <c r="AU84" s="161"/>
      <c r="AV84" s="161"/>
      <c r="AW84" s="160"/>
      <c r="AX84" s="157"/>
      <c r="AY84" s="157"/>
      <c r="AZ84" s="157"/>
      <c r="BA84" s="157"/>
      <c r="BB84" s="157"/>
      <c r="BC84" s="157"/>
      <c r="BD84" s="157"/>
      <c r="BE84" s="157"/>
      <c r="BF84" s="202" t="s">
        <v>205</v>
      </c>
      <c r="BG84" s="203" t="s">
        <v>1980</v>
      </c>
      <c r="BH84" s="201" t="str">
        <f t="shared" si="149"/>
        <v>政府市滨海新城管委</v>
      </c>
      <c r="BI84" s="201" t="str">
        <f t="shared" si="150"/>
        <v>基础设施市滨海新城管委</v>
      </c>
      <c r="BJ84" s="204">
        <f t="shared" si="151"/>
        <v>0</v>
      </c>
      <c r="BK84" s="157" t="str">
        <f t="shared" si="152"/>
        <v>城市基础设施路网工程1000</v>
      </c>
      <c r="BL84" s="157" t="str">
        <f t="shared" si="153"/>
        <v>城市基础设施路网工程2000</v>
      </c>
      <c r="BM84" s="157" t="str">
        <f t="shared" si="154"/>
        <v/>
      </c>
      <c r="BN84" s="157"/>
      <c r="BO84" s="157">
        <f t="shared" si="143"/>
        <v>1</v>
      </c>
      <c r="BP84" s="157">
        <f t="shared" si="144"/>
        <v>0</v>
      </c>
      <c r="BQ84" s="157">
        <f t="shared" si="145"/>
        <v>0</v>
      </c>
      <c r="BR84" s="157">
        <f t="shared" si="146"/>
        <v>0</v>
      </c>
      <c r="BS84" s="157">
        <f t="shared" si="147"/>
        <v>1</v>
      </c>
      <c r="BT84" s="181"/>
      <c r="BU84" s="206"/>
      <c r="BW84" s="7"/>
      <c r="BX84" s="7"/>
      <c r="BY84" s="7"/>
      <c r="BZ84" s="7"/>
      <c r="CA84" s="7"/>
      <c r="CB84" s="4"/>
      <c r="CC84" s="4"/>
      <c r="CD84" s="4"/>
      <c r="CE84" s="4"/>
      <c r="CF84" s="4"/>
      <c r="CG84" s="4"/>
    </row>
    <row r="85" ht="85.5" customHeight="1" spans="1:85">
      <c r="A85" s="23">
        <f>SUBTOTAL(3,C$7:C85)</f>
        <v>60</v>
      </c>
      <c r="B85" s="694" t="s">
        <v>1042</v>
      </c>
      <c r="C85" s="76" t="s">
        <v>562</v>
      </c>
      <c r="D85" s="694" t="s">
        <v>1043</v>
      </c>
      <c r="E85" s="78" t="s">
        <v>627</v>
      </c>
      <c r="F85" s="38">
        <v>20000</v>
      </c>
      <c r="G85" s="38">
        <v>13566</v>
      </c>
      <c r="H85" s="123" t="s">
        <v>1044</v>
      </c>
      <c r="I85" s="702">
        <v>300</v>
      </c>
      <c r="J85" s="702">
        <v>1200</v>
      </c>
      <c r="K85" s="702">
        <v>2100</v>
      </c>
      <c r="L85" s="704">
        <v>3030</v>
      </c>
      <c r="M85" s="38"/>
      <c r="N85" s="111"/>
      <c r="O85" s="67"/>
      <c r="P85" s="705" t="s">
        <v>2353</v>
      </c>
      <c r="Q85" s="90" t="s">
        <v>2163</v>
      </c>
      <c r="R85" s="132">
        <f>105.9+5.5</f>
        <v>111.4</v>
      </c>
      <c r="S85" s="132">
        <f>(4.4865+2.591)*15</f>
        <v>106.1625</v>
      </c>
      <c r="T85" s="132">
        <f t="shared" si="155"/>
        <v>5.2375</v>
      </c>
      <c r="U85" s="132">
        <f>2.1798*15</f>
        <v>32.697</v>
      </c>
      <c r="V85" s="132">
        <v>32.697</v>
      </c>
      <c r="W85" s="132"/>
      <c r="X85" s="132"/>
      <c r="Y85" s="132"/>
      <c r="Z85" s="132"/>
      <c r="AA85" s="132">
        <v>55</v>
      </c>
      <c r="AB85" s="132"/>
      <c r="AC85" s="132">
        <v>55</v>
      </c>
      <c r="AD85" s="132">
        <v>1500</v>
      </c>
      <c r="AE85" s="132"/>
      <c r="AF85" s="132"/>
      <c r="AG85" s="132"/>
      <c r="AH85" s="132">
        <v>1500</v>
      </c>
      <c r="AI85" s="90"/>
      <c r="AJ85" s="90" t="s">
        <v>1045</v>
      </c>
      <c r="AK85" s="34" t="s">
        <v>1040</v>
      </c>
      <c r="AL85" s="35" t="s">
        <v>2027</v>
      </c>
      <c r="AM85" s="35" t="s">
        <v>498</v>
      </c>
      <c r="AN85" s="34"/>
      <c r="AO85" s="157"/>
      <c r="AP85" s="158" t="s">
        <v>2020</v>
      </c>
      <c r="AQ85" s="158" t="s">
        <v>2017</v>
      </c>
      <c r="AR85" s="158" t="str">
        <f t="shared" si="148"/>
        <v>城市基础设施路网工程</v>
      </c>
      <c r="AS85" s="158" t="s">
        <v>2021</v>
      </c>
      <c r="AT85" s="158"/>
      <c r="AU85" s="161"/>
      <c r="AV85" s="161"/>
      <c r="AW85" s="160"/>
      <c r="AX85" s="157"/>
      <c r="AY85" s="157"/>
      <c r="AZ85" s="157"/>
      <c r="BA85" s="157"/>
      <c r="BB85" s="157"/>
      <c r="BC85" s="157"/>
      <c r="BD85" s="157"/>
      <c r="BE85" s="157"/>
      <c r="BF85" s="202" t="s">
        <v>205</v>
      </c>
      <c r="BG85" s="203" t="s">
        <v>1980</v>
      </c>
      <c r="BH85" s="201" t="str">
        <f t="shared" si="149"/>
        <v>政府市滨海新城管委</v>
      </c>
      <c r="BI85" s="201" t="str">
        <f t="shared" si="150"/>
        <v>基础设施市滨海新城管委</v>
      </c>
      <c r="BJ85" s="204">
        <f t="shared" si="151"/>
        <v>0</v>
      </c>
      <c r="BK85" s="157" t="str">
        <f t="shared" si="152"/>
        <v>城市基础设施路网工程1000</v>
      </c>
      <c r="BL85" s="157" t="str">
        <f t="shared" si="153"/>
        <v>城市基础设施路网工程2000</v>
      </c>
      <c r="BM85" s="157" t="str">
        <f t="shared" si="154"/>
        <v/>
      </c>
      <c r="BN85" s="157"/>
      <c r="BO85" s="157">
        <f t="shared" si="143"/>
        <v>1</v>
      </c>
      <c r="BP85" s="157">
        <f t="shared" si="144"/>
        <v>0</v>
      </c>
      <c r="BQ85" s="157">
        <f t="shared" si="145"/>
        <v>1</v>
      </c>
      <c r="BR85" s="157">
        <f t="shared" si="146"/>
        <v>1</v>
      </c>
      <c r="BS85" s="157">
        <f t="shared" si="147"/>
        <v>1</v>
      </c>
      <c r="BT85" s="181"/>
      <c r="BU85" s="206"/>
      <c r="BW85" s="7"/>
      <c r="BX85" s="7"/>
      <c r="BY85" s="7"/>
      <c r="BZ85" s="7"/>
      <c r="CA85" s="7"/>
      <c r="CB85" s="4"/>
      <c r="CC85" s="4"/>
      <c r="CD85" s="4"/>
      <c r="CE85" s="4"/>
      <c r="CF85" s="4"/>
      <c r="CG85" s="4"/>
    </row>
    <row r="86" ht="76.5" customHeight="1" spans="1:85">
      <c r="A86" s="23">
        <f>SUBTOTAL(3,C$7:C86)</f>
        <v>61</v>
      </c>
      <c r="B86" s="55" t="s">
        <v>1047</v>
      </c>
      <c r="C86" s="76" t="s">
        <v>562</v>
      </c>
      <c r="D86" s="55" t="s">
        <v>1048</v>
      </c>
      <c r="E86" s="693" t="s">
        <v>1049</v>
      </c>
      <c r="F86" s="38">
        <v>9088</v>
      </c>
      <c r="G86" s="38">
        <v>5794</v>
      </c>
      <c r="H86" s="123" t="s">
        <v>1050</v>
      </c>
      <c r="I86" s="67">
        <v>50</v>
      </c>
      <c r="J86" s="67">
        <v>550</v>
      </c>
      <c r="K86" s="702">
        <v>670</v>
      </c>
      <c r="L86" s="703">
        <v>670</v>
      </c>
      <c r="M86" s="36"/>
      <c r="N86" s="111"/>
      <c r="O86" s="67"/>
      <c r="P86" s="90" t="s">
        <v>2354</v>
      </c>
      <c r="Q86" s="90" t="s">
        <v>2355</v>
      </c>
      <c r="R86" s="132">
        <v>98</v>
      </c>
      <c r="S86" s="132">
        <v>98</v>
      </c>
      <c r="T86" s="132"/>
      <c r="U86" s="132">
        <v>13.7205</v>
      </c>
      <c r="V86" s="132">
        <v>13.7205</v>
      </c>
      <c r="W86" s="132"/>
      <c r="X86" s="132"/>
      <c r="Y86" s="132"/>
      <c r="Z86" s="132"/>
      <c r="AA86" s="132"/>
      <c r="AB86" s="132"/>
      <c r="AC86" s="132"/>
      <c r="AD86" s="132">
        <v>1000</v>
      </c>
      <c r="AE86" s="132"/>
      <c r="AF86" s="132">
        <f>1100-429</f>
        <v>671</v>
      </c>
      <c r="AG86" s="132"/>
      <c r="AH86" s="132">
        <f>1000-671</f>
        <v>329</v>
      </c>
      <c r="AI86" s="90"/>
      <c r="AJ86" s="90" t="s">
        <v>1045</v>
      </c>
      <c r="AK86" s="34" t="s">
        <v>1040</v>
      </c>
      <c r="AL86" s="35" t="s">
        <v>2027</v>
      </c>
      <c r="AM86" s="35" t="s">
        <v>498</v>
      </c>
      <c r="AN86" s="34" t="s">
        <v>2356</v>
      </c>
      <c r="AO86" s="157"/>
      <c r="AP86" s="158" t="s">
        <v>2020</v>
      </c>
      <c r="AQ86" s="158" t="s">
        <v>2017</v>
      </c>
      <c r="AR86" s="158" t="str">
        <f t="shared" si="148"/>
        <v>城市基础设施路网工程</v>
      </c>
      <c r="AS86" s="158" t="s">
        <v>2021</v>
      </c>
      <c r="AT86" s="158"/>
      <c r="AU86" s="161"/>
      <c r="AV86" s="161"/>
      <c r="AW86" s="160"/>
      <c r="AX86" s="157"/>
      <c r="AY86" s="157"/>
      <c r="AZ86" s="157"/>
      <c r="BA86" s="157"/>
      <c r="BB86" s="157"/>
      <c r="BC86" s="157"/>
      <c r="BD86" s="157"/>
      <c r="BE86" s="157"/>
      <c r="BF86" s="202" t="s">
        <v>205</v>
      </c>
      <c r="BG86" s="203" t="s">
        <v>1980</v>
      </c>
      <c r="BH86" s="201" t="str">
        <f t="shared" si="149"/>
        <v>政府市滨海新城管委</v>
      </c>
      <c r="BI86" s="201" t="str">
        <f t="shared" si="150"/>
        <v>基础设施市滨海新城管委</v>
      </c>
      <c r="BJ86" s="204">
        <f t="shared" si="151"/>
        <v>0</v>
      </c>
      <c r="BK86" s="157" t="str">
        <f t="shared" si="152"/>
        <v/>
      </c>
      <c r="BL86" s="157" t="str">
        <f t="shared" si="153"/>
        <v/>
      </c>
      <c r="BM86" s="157" t="str">
        <f t="shared" si="154"/>
        <v/>
      </c>
      <c r="BN86" s="157"/>
      <c r="BO86" s="157">
        <f t="shared" si="143"/>
        <v>1</v>
      </c>
      <c r="BP86" s="157">
        <f t="shared" si="144"/>
        <v>0</v>
      </c>
      <c r="BQ86" s="157">
        <f t="shared" si="145"/>
        <v>1</v>
      </c>
      <c r="BR86" s="157">
        <f t="shared" si="146"/>
        <v>0</v>
      </c>
      <c r="BS86" s="157">
        <f t="shared" si="147"/>
        <v>1</v>
      </c>
      <c r="BT86" s="181"/>
      <c r="BU86" s="206"/>
      <c r="BW86" s="7"/>
      <c r="BX86" s="7"/>
      <c r="BY86" s="7"/>
      <c r="BZ86" s="7"/>
      <c r="CA86" s="7"/>
      <c r="CB86" s="4"/>
      <c r="CC86" s="4"/>
      <c r="CD86" s="4"/>
      <c r="CE86" s="4"/>
      <c r="CF86" s="4"/>
      <c r="CG86" s="4"/>
    </row>
    <row r="87" ht="76.5" customHeight="1" spans="1:85">
      <c r="A87" s="23">
        <f>SUBTOTAL(3,C$7:C87)</f>
        <v>62</v>
      </c>
      <c r="B87" s="55" t="s">
        <v>1294</v>
      </c>
      <c r="C87" s="76" t="s">
        <v>562</v>
      </c>
      <c r="D87" s="55" t="s">
        <v>1295</v>
      </c>
      <c r="E87" s="693" t="s">
        <v>1049</v>
      </c>
      <c r="F87" s="38">
        <v>7440</v>
      </c>
      <c r="G87" s="38">
        <v>1880</v>
      </c>
      <c r="H87" s="123" t="s">
        <v>2357</v>
      </c>
      <c r="I87" s="67">
        <v>100</v>
      </c>
      <c r="J87" s="67">
        <v>500</v>
      </c>
      <c r="K87" s="67">
        <v>900</v>
      </c>
      <c r="L87" s="36">
        <v>1000</v>
      </c>
      <c r="M87" s="36"/>
      <c r="N87" s="111"/>
      <c r="O87" s="67"/>
      <c r="P87" s="90" t="s">
        <v>1999</v>
      </c>
      <c r="Q87" s="90" t="s">
        <v>2029</v>
      </c>
      <c r="R87" s="132">
        <v>145.46</v>
      </c>
      <c r="S87" s="132"/>
      <c r="T87" s="132">
        <f t="shared" si="155"/>
        <v>145.46</v>
      </c>
      <c r="U87" s="132">
        <f>1.8*15</f>
        <v>27</v>
      </c>
      <c r="V87" s="132"/>
      <c r="W87" s="132">
        <f>U87-V87</f>
        <v>27</v>
      </c>
      <c r="X87" s="132"/>
      <c r="Y87" s="132"/>
      <c r="Z87" s="132"/>
      <c r="AA87" s="132">
        <v>27</v>
      </c>
      <c r="AB87" s="132"/>
      <c r="AC87" s="132">
        <v>27</v>
      </c>
      <c r="AD87" s="132">
        <v>1000</v>
      </c>
      <c r="AE87" s="132"/>
      <c r="AF87" s="132"/>
      <c r="AG87" s="132"/>
      <c r="AH87" s="132">
        <v>1000</v>
      </c>
      <c r="AI87" s="90"/>
      <c r="AJ87" s="90" t="s">
        <v>1297</v>
      </c>
      <c r="AK87" s="34" t="s">
        <v>1040</v>
      </c>
      <c r="AL87" s="35" t="s">
        <v>2027</v>
      </c>
      <c r="AM87" s="35" t="s">
        <v>498</v>
      </c>
      <c r="AN87" s="34"/>
      <c r="AO87" s="157"/>
      <c r="AP87" s="158" t="s">
        <v>2020</v>
      </c>
      <c r="AQ87" s="158" t="s">
        <v>2017</v>
      </c>
      <c r="AR87" s="158" t="str">
        <f t="shared" si="148"/>
        <v>城市基础设施路网工程</v>
      </c>
      <c r="AS87" s="158" t="s">
        <v>2021</v>
      </c>
      <c r="AT87" s="158"/>
      <c r="AU87" s="161"/>
      <c r="AV87" s="161"/>
      <c r="AW87" s="160"/>
      <c r="AX87" s="157"/>
      <c r="AY87" s="157"/>
      <c r="AZ87" s="157"/>
      <c r="BA87" s="157"/>
      <c r="BB87" s="157"/>
      <c r="BC87" s="157"/>
      <c r="BD87" s="157"/>
      <c r="BE87" s="157"/>
      <c r="BF87" s="202" t="s">
        <v>205</v>
      </c>
      <c r="BG87" s="203" t="s">
        <v>1980</v>
      </c>
      <c r="BH87" s="201" t="str">
        <f t="shared" si="149"/>
        <v>政府市滨海新城管委</v>
      </c>
      <c r="BI87" s="201" t="str">
        <f t="shared" si="150"/>
        <v>基础设施市滨海新城管委</v>
      </c>
      <c r="BJ87" s="204">
        <f t="shared" si="151"/>
        <v>0</v>
      </c>
      <c r="BK87" s="157" t="str">
        <f t="shared" si="152"/>
        <v>城市基础设施路网工程1000</v>
      </c>
      <c r="BL87" s="157" t="str">
        <f t="shared" si="153"/>
        <v/>
      </c>
      <c r="BM87" s="157" t="str">
        <f t="shared" si="154"/>
        <v/>
      </c>
      <c r="BN87" s="157"/>
      <c r="BO87" s="157">
        <f t="shared" si="143"/>
        <v>1</v>
      </c>
      <c r="BP87" s="157">
        <f t="shared" si="144"/>
        <v>0</v>
      </c>
      <c r="BQ87" s="157">
        <f t="shared" si="145"/>
        <v>1</v>
      </c>
      <c r="BR87" s="157">
        <f t="shared" si="146"/>
        <v>1</v>
      </c>
      <c r="BS87" s="157">
        <f t="shared" si="147"/>
        <v>1</v>
      </c>
      <c r="BT87" s="181"/>
      <c r="BU87" s="206"/>
      <c r="BW87" s="7"/>
      <c r="BX87" s="7"/>
      <c r="BY87" s="7"/>
      <c r="BZ87" s="7"/>
      <c r="CA87" s="7"/>
      <c r="CB87" s="4"/>
      <c r="CC87" s="4"/>
      <c r="CD87" s="4"/>
      <c r="CE87" s="4"/>
      <c r="CF87" s="4"/>
      <c r="CG87" s="4"/>
    </row>
    <row r="88" ht="76.5" customHeight="1" spans="1:85">
      <c r="A88" s="23">
        <f>SUBTOTAL(3,C$7:C88)</f>
        <v>63</v>
      </c>
      <c r="B88" s="55" t="s">
        <v>1298</v>
      </c>
      <c r="C88" s="76" t="s">
        <v>562</v>
      </c>
      <c r="D88" s="55" t="s">
        <v>1299</v>
      </c>
      <c r="E88" s="693" t="s">
        <v>1049</v>
      </c>
      <c r="F88" s="38">
        <v>7224</v>
      </c>
      <c r="G88" s="38">
        <v>1736</v>
      </c>
      <c r="H88" s="123" t="s">
        <v>2357</v>
      </c>
      <c r="I88" s="67">
        <v>100</v>
      </c>
      <c r="J88" s="67">
        <v>500</v>
      </c>
      <c r="K88" s="67">
        <v>900</v>
      </c>
      <c r="L88" s="36">
        <v>1000</v>
      </c>
      <c r="M88" s="36"/>
      <c r="N88" s="111"/>
      <c r="O88" s="67"/>
      <c r="P88" s="90" t="s">
        <v>1999</v>
      </c>
      <c r="Q88" s="90" t="s">
        <v>2029</v>
      </c>
      <c r="R88" s="132">
        <v>122.01</v>
      </c>
      <c r="S88" s="132"/>
      <c r="T88" s="132">
        <f t="shared" si="155"/>
        <v>122.01</v>
      </c>
      <c r="U88" s="132"/>
      <c r="V88" s="132"/>
      <c r="W88" s="132"/>
      <c r="X88" s="132"/>
      <c r="Y88" s="132"/>
      <c r="Z88" s="132"/>
      <c r="AA88" s="132">
        <v>31</v>
      </c>
      <c r="AB88" s="132"/>
      <c r="AC88" s="132">
        <v>31</v>
      </c>
      <c r="AD88" s="132">
        <v>1000</v>
      </c>
      <c r="AE88" s="132"/>
      <c r="AF88" s="132"/>
      <c r="AG88" s="132"/>
      <c r="AH88" s="132">
        <v>1000</v>
      </c>
      <c r="AI88" s="90"/>
      <c r="AJ88" s="90" t="s">
        <v>1297</v>
      </c>
      <c r="AK88" s="34" t="s">
        <v>1040</v>
      </c>
      <c r="AL88" s="35" t="s">
        <v>2027</v>
      </c>
      <c r="AM88" s="35" t="s">
        <v>498</v>
      </c>
      <c r="AN88" s="34"/>
      <c r="AO88" s="157"/>
      <c r="AP88" s="158" t="s">
        <v>2020</v>
      </c>
      <c r="AQ88" s="158" t="s">
        <v>2017</v>
      </c>
      <c r="AR88" s="158" t="str">
        <f t="shared" si="148"/>
        <v>城市基础设施路网工程</v>
      </c>
      <c r="AS88" s="158" t="s">
        <v>2021</v>
      </c>
      <c r="AT88" s="158"/>
      <c r="AU88" s="161"/>
      <c r="AV88" s="161"/>
      <c r="AW88" s="160"/>
      <c r="AX88" s="157"/>
      <c r="AY88" s="157"/>
      <c r="AZ88" s="157"/>
      <c r="BA88" s="157"/>
      <c r="BB88" s="157"/>
      <c r="BC88" s="157"/>
      <c r="BD88" s="157"/>
      <c r="BE88" s="157"/>
      <c r="BF88" s="202" t="s">
        <v>205</v>
      </c>
      <c r="BG88" s="203" t="s">
        <v>1980</v>
      </c>
      <c r="BH88" s="201" t="str">
        <f t="shared" si="149"/>
        <v>政府市滨海新城管委</v>
      </c>
      <c r="BI88" s="201" t="str">
        <f t="shared" si="150"/>
        <v>基础设施市滨海新城管委</v>
      </c>
      <c r="BJ88" s="204">
        <f t="shared" si="151"/>
        <v>0</v>
      </c>
      <c r="BK88" s="157" t="str">
        <f t="shared" si="152"/>
        <v>城市基础设施路网工程1000</v>
      </c>
      <c r="BL88" s="157" t="str">
        <f t="shared" si="153"/>
        <v/>
      </c>
      <c r="BM88" s="157" t="str">
        <f t="shared" si="154"/>
        <v/>
      </c>
      <c r="BN88" s="157"/>
      <c r="BO88" s="157">
        <f t="shared" si="143"/>
        <v>1</v>
      </c>
      <c r="BP88" s="157">
        <f t="shared" si="144"/>
        <v>0</v>
      </c>
      <c r="BQ88" s="157">
        <f t="shared" si="145"/>
        <v>0</v>
      </c>
      <c r="BR88" s="157">
        <f t="shared" si="146"/>
        <v>1</v>
      </c>
      <c r="BS88" s="157">
        <f t="shared" si="147"/>
        <v>1</v>
      </c>
      <c r="BT88" s="181"/>
      <c r="BU88" s="206"/>
      <c r="BW88" s="7"/>
      <c r="BX88" s="7"/>
      <c r="BY88" s="7"/>
      <c r="BZ88" s="7"/>
      <c r="CA88" s="7"/>
      <c r="CB88" s="4"/>
      <c r="CC88" s="4"/>
      <c r="CD88" s="4"/>
      <c r="CE88" s="4"/>
      <c r="CF88" s="4"/>
      <c r="CG88" s="4"/>
    </row>
    <row r="89" ht="76.5" customHeight="1" spans="1:85">
      <c r="A89" s="23">
        <f>SUBTOTAL(3,C$7:C89)</f>
        <v>64</v>
      </c>
      <c r="B89" s="88" t="s">
        <v>1052</v>
      </c>
      <c r="C89" s="76" t="s">
        <v>562</v>
      </c>
      <c r="D89" s="55" t="s">
        <v>1053</v>
      </c>
      <c r="E89" s="35" t="s">
        <v>627</v>
      </c>
      <c r="F89" s="36">
        <v>3000</v>
      </c>
      <c r="G89" s="36">
        <v>933</v>
      </c>
      <c r="H89" s="34" t="s">
        <v>1054</v>
      </c>
      <c r="I89" s="35">
        <v>150</v>
      </c>
      <c r="J89" s="706">
        <v>300</v>
      </c>
      <c r="K89" s="706">
        <v>800</v>
      </c>
      <c r="L89" s="703">
        <v>1433</v>
      </c>
      <c r="M89" s="36"/>
      <c r="N89" s="111"/>
      <c r="O89" s="67"/>
      <c r="P89" s="90" t="s">
        <v>1999</v>
      </c>
      <c r="Q89" s="90" t="s">
        <v>2029</v>
      </c>
      <c r="R89" s="132">
        <v>122.01</v>
      </c>
      <c r="S89" s="132"/>
      <c r="T89" s="132">
        <f t="shared" si="155"/>
        <v>122.01</v>
      </c>
      <c r="U89" s="132"/>
      <c r="V89" s="132"/>
      <c r="W89" s="132"/>
      <c r="X89" s="132"/>
      <c r="Y89" s="132"/>
      <c r="Z89" s="132"/>
      <c r="AA89" s="132">
        <v>31</v>
      </c>
      <c r="AB89" s="132"/>
      <c r="AC89" s="132">
        <v>31</v>
      </c>
      <c r="AD89" s="132">
        <v>1000</v>
      </c>
      <c r="AE89" s="132"/>
      <c r="AF89" s="132"/>
      <c r="AG89" s="132"/>
      <c r="AH89" s="132">
        <v>1000</v>
      </c>
      <c r="AI89" s="90"/>
      <c r="AJ89" s="88" t="s">
        <v>1055</v>
      </c>
      <c r="AK89" s="34" t="s">
        <v>1040</v>
      </c>
      <c r="AL89" s="35" t="s">
        <v>2027</v>
      </c>
      <c r="AM89" s="35" t="s">
        <v>498</v>
      </c>
      <c r="AN89" s="34"/>
      <c r="AO89" s="157"/>
      <c r="AP89" s="158" t="s">
        <v>2020</v>
      </c>
      <c r="AQ89" s="158" t="s">
        <v>2017</v>
      </c>
      <c r="AR89" s="158" t="str">
        <f t="shared" si="148"/>
        <v>城市基础设施路网工程</v>
      </c>
      <c r="AS89" s="158" t="s">
        <v>2021</v>
      </c>
      <c r="AT89" s="158"/>
      <c r="AU89" s="161"/>
      <c r="AV89" s="161"/>
      <c r="AW89" s="160"/>
      <c r="AX89" s="157"/>
      <c r="AY89" s="157"/>
      <c r="AZ89" s="157"/>
      <c r="BA89" s="157"/>
      <c r="BB89" s="157"/>
      <c r="BC89" s="157"/>
      <c r="BD89" s="157"/>
      <c r="BE89" s="157"/>
      <c r="BF89" s="202" t="s">
        <v>205</v>
      </c>
      <c r="BG89" s="203" t="s">
        <v>1980</v>
      </c>
      <c r="BH89" s="201" t="str">
        <f t="shared" si="149"/>
        <v>政府市滨海新城管委</v>
      </c>
      <c r="BI89" s="201" t="str">
        <f t="shared" si="150"/>
        <v>基础设施市滨海新城管委</v>
      </c>
      <c r="BJ89" s="204">
        <f t="shared" si="151"/>
        <v>0</v>
      </c>
      <c r="BK89" s="157" t="str">
        <f t="shared" si="152"/>
        <v>城市基础设施路网工程1000</v>
      </c>
      <c r="BL89" s="157" t="str">
        <f t="shared" si="153"/>
        <v/>
      </c>
      <c r="BM89" s="157" t="str">
        <f t="shared" si="154"/>
        <v/>
      </c>
      <c r="BN89" s="157"/>
      <c r="BO89" s="157">
        <f t="shared" si="143"/>
        <v>1</v>
      </c>
      <c r="BP89" s="157">
        <f t="shared" si="144"/>
        <v>0</v>
      </c>
      <c r="BQ89" s="157">
        <f t="shared" si="145"/>
        <v>0</v>
      </c>
      <c r="BR89" s="157">
        <f t="shared" si="146"/>
        <v>1</v>
      </c>
      <c r="BS89" s="157">
        <f t="shared" si="147"/>
        <v>1</v>
      </c>
      <c r="BT89" s="181"/>
      <c r="BU89" s="206"/>
      <c r="BW89" s="7"/>
      <c r="BX89" s="7"/>
      <c r="BY89" s="7"/>
      <c r="BZ89" s="7"/>
      <c r="CA89" s="7"/>
      <c r="CB89" s="4"/>
      <c r="CC89" s="4"/>
      <c r="CD89" s="4"/>
      <c r="CE89" s="4"/>
      <c r="CF89" s="4"/>
      <c r="CG89" s="4"/>
    </row>
    <row r="90" ht="84" customHeight="1" spans="1:85">
      <c r="A90" s="23">
        <f>SUBTOTAL(3,C$7:C90)</f>
        <v>65</v>
      </c>
      <c r="B90" s="55" t="s">
        <v>1333</v>
      </c>
      <c r="C90" s="35" t="s">
        <v>562</v>
      </c>
      <c r="D90" s="695" t="s">
        <v>1334</v>
      </c>
      <c r="E90" s="35" t="s">
        <v>575</v>
      </c>
      <c r="F90" s="35">
        <v>18000</v>
      </c>
      <c r="G90" s="36">
        <v>3000</v>
      </c>
      <c r="H90" s="123" t="s">
        <v>1335</v>
      </c>
      <c r="I90" s="67">
        <v>300</v>
      </c>
      <c r="J90" s="67">
        <v>800</v>
      </c>
      <c r="K90" s="67">
        <v>1800</v>
      </c>
      <c r="L90" s="36">
        <v>2000</v>
      </c>
      <c r="M90" s="36"/>
      <c r="N90" s="111"/>
      <c r="O90" s="67"/>
      <c r="P90" s="262" t="s">
        <v>2358</v>
      </c>
      <c r="Q90" s="710" t="s">
        <v>2359</v>
      </c>
      <c r="R90" s="712"/>
      <c r="S90" s="712"/>
      <c r="T90" s="712"/>
      <c r="U90" s="712"/>
      <c r="V90" s="712"/>
      <c r="W90" s="712"/>
      <c r="X90" s="712"/>
      <c r="Y90" s="712"/>
      <c r="Z90" s="712"/>
      <c r="AA90" s="712"/>
      <c r="AB90" s="712"/>
      <c r="AC90" s="712"/>
      <c r="AD90" s="712"/>
      <c r="AE90" s="712"/>
      <c r="AF90" s="712"/>
      <c r="AG90" s="712"/>
      <c r="AH90" s="712"/>
      <c r="AI90" s="90"/>
      <c r="AJ90" s="262" t="s">
        <v>1170</v>
      </c>
      <c r="AK90" s="34" t="s">
        <v>1311</v>
      </c>
      <c r="AL90" s="35" t="s">
        <v>2360</v>
      </c>
      <c r="AM90" s="35" t="s">
        <v>269</v>
      </c>
      <c r="AN90" s="91"/>
      <c r="AO90" s="157"/>
      <c r="AP90" s="158" t="s">
        <v>2020</v>
      </c>
      <c r="AQ90" s="158" t="s">
        <v>2017</v>
      </c>
      <c r="AR90" s="158" t="str">
        <f t="shared" si="148"/>
        <v>城市基础设施路网工程</v>
      </c>
      <c r="AS90" s="158" t="s">
        <v>2021</v>
      </c>
      <c r="AT90" s="158"/>
      <c r="AU90" s="161"/>
      <c r="AV90" s="161"/>
      <c r="AW90" s="160"/>
      <c r="AX90" s="157"/>
      <c r="AY90" s="157"/>
      <c r="AZ90" s="157"/>
      <c r="BA90" s="157"/>
      <c r="BB90" s="157"/>
      <c r="BC90" s="157"/>
      <c r="BD90" s="157"/>
      <c r="BE90" s="157"/>
      <c r="BF90" s="201" t="s">
        <v>205</v>
      </c>
      <c r="BG90" s="203" t="s">
        <v>1980</v>
      </c>
      <c r="BH90" s="201" t="str">
        <f t="shared" si="149"/>
        <v>政府灵山县人民政府</v>
      </c>
      <c r="BI90" s="201" t="str">
        <f t="shared" si="150"/>
        <v>基础设施灵山县人民政府</v>
      </c>
      <c r="BJ90" s="204">
        <f t="shared" si="151"/>
        <v>0</v>
      </c>
      <c r="BK90" s="157" t="str">
        <f t="shared" si="152"/>
        <v>城市基础设施路网工程1000</v>
      </c>
      <c r="BL90" s="157" t="str">
        <f t="shared" si="153"/>
        <v>城市基础设施路网工程2000</v>
      </c>
      <c r="BM90" s="157" t="str">
        <f t="shared" si="154"/>
        <v/>
      </c>
      <c r="BN90" s="157"/>
      <c r="BO90" s="157">
        <f t="shared" si="143"/>
        <v>0</v>
      </c>
      <c r="BP90" s="157">
        <f t="shared" si="144"/>
        <v>0</v>
      </c>
      <c r="BQ90" s="157">
        <f t="shared" si="145"/>
        <v>0</v>
      </c>
      <c r="BR90" s="157">
        <f t="shared" si="146"/>
        <v>0</v>
      </c>
      <c r="BS90" s="157">
        <f t="shared" si="147"/>
        <v>0</v>
      </c>
      <c r="BT90" s="181"/>
      <c r="BU90" s="206"/>
      <c r="BX90" s="206"/>
      <c r="CB90" s="4"/>
      <c r="CC90" s="4"/>
      <c r="CD90" s="4"/>
      <c r="CE90" s="4"/>
      <c r="CF90" s="4"/>
      <c r="CG90" s="4"/>
    </row>
    <row r="91" s="9" customFormat="1" ht="87" customHeight="1" spans="1:79">
      <c r="A91" s="23">
        <f>SUBTOTAL(3,C$7:C91)</f>
        <v>66</v>
      </c>
      <c r="B91" s="60" t="s">
        <v>1071</v>
      </c>
      <c r="C91" s="35" t="s">
        <v>562</v>
      </c>
      <c r="D91" s="88" t="s">
        <v>1072</v>
      </c>
      <c r="E91" s="23" t="s">
        <v>575</v>
      </c>
      <c r="F91" s="67">
        <v>6400</v>
      </c>
      <c r="G91" s="36">
        <v>611</v>
      </c>
      <c r="H91" s="123" t="s">
        <v>1073</v>
      </c>
      <c r="I91" s="67">
        <v>200</v>
      </c>
      <c r="J91" s="67">
        <v>800</v>
      </c>
      <c r="K91" s="67">
        <v>1400</v>
      </c>
      <c r="L91" s="36">
        <v>2000</v>
      </c>
      <c r="M91" s="36"/>
      <c r="N91" s="50"/>
      <c r="O91" s="67"/>
      <c r="P91" s="90" t="s">
        <v>2361</v>
      </c>
      <c r="Q91" s="90" t="s">
        <v>2362</v>
      </c>
      <c r="R91" s="132"/>
      <c r="S91" s="132"/>
      <c r="T91" s="132"/>
      <c r="U91" s="132"/>
      <c r="V91" s="132"/>
      <c r="W91" s="132"/>
      <c r="X91" s="132"/>
      <c r="Y91" s="132"/>
      <c r="Z91" s="132"/>
      <c r="AA91" s="132"/>
      <c r="AB91" s="132"/>
      <c r="AC91" s="132"/>
      <c r="AD91" s="132"/>
      <c r="AE91" s="132"/>
      <c r="AF91" s="132"/>
      <c r="AG91" s="132"/>
      <c r="AH91" s="132"/>
      <c r="AI91" s="90"/>
      <c r="AJ91" s="90" t="s">
        <v>117</v>
      </c>
      <c r="AK91" s="123" t="s">
        <v>2363</v>
      </c>
      <c r="AL91" s="67" t="s">
        <v>2364</v>
      </c>
      <c r="AM91" s="35" t="s">
        <v>269</v>
      </c>
      <c r="AN91" s="91"/>
      <c r="AO91" s="157"/>
      <c r="AP91" s="158" t="s">
        <v>2020</v>
      </c>
      <c r="AQ91" s="158" t="s">
        <v>2017</v>
      </c>
      <c r="AR91" s="158" t="str">
        <f t="shared" si="148"/>
        <v>城市基础设施路网工程</v>
      </c>
      <c r="AS91" s="158" t="s">
        <v>2021</v>
      </c>
      <c r="AT91" s="158"/>
      <c r="AU91" s="161"/>
      <c r="AV91" s="161"/>
      <c r="AW91" s="160"/>
      <c r="AX91" s="157"/>
      <c r="AY91" s="157"/>
      <c r="AZ91" s="157"/>
      <c r="BA91" s="157"/>
      <c r="BB91" s="157"/>
      <c r="BC91" s="157"/>
      <c r="BD91" s="157"/>
      <c r="BE91" s="157"/>
      <c r="BF91" s="202" t="s">
        <v>205</v>
      </c>
      <c r="BG91" s="203" t="s">
        <v>1980</v>
      </c>
      <c r="BH91" s="201" t="str">
        <f t="shared" si="149"/>
        <v>政府灵山县人民政府</v>
      </c>
      <c r="BI91" s="201" t="str">
        <f t="shared" si="150"/>
        <v>基础设施灵山县人民政府</v>
      </c>
      <c r="BJ91" s="204">
        <f t="shared" si="151"/>
        <v>0</v>
      </c>
      <c r="BK91" s="157" t="str">
        <f t="shared" si="152"/>
        <v>城市基础设施路网工程1000</v>
      </c>
      <c r="BL91" s="157" t="str">
        <f t="shared" si="153"/>
        <v>城市基础设施路网工程2000</v>
      </c>
      <c r="BM91" s="157" t="str">
        <f t="shared" si="154"/>
        <v/>
      </c>
      <c r="BN91" s="157"/>
      <c r="BO91" s="157">
        <f t="shared" si="143"/>
        <v>0</v>
      </c>
      <c r="BP91" s="157">
        <f t="shared" si="144"/>
        <v>0</v>
      </c>
      <c r="BQ91" s="157">
        <f t="shared" si="145"/>
        <v>0</v>
      </c>
      <c r="BR91" s="157">
        <f t="shared" si="146"/>
        <v>0</v>
      </c>
      <c r="BS91" s="157">
        <f t="shared" si="147"/>
        <v>0</v>
      </c>
      <c r="BT91" s="181"/>
      <c r="BU91" s="206"/>
      <c r="BW91" s="206"/>
      <c r="BX91" s="224"/>
      <c r="BY91" s="206"/>
      <c r="BZ91" s="206"/>
      <c r="CA91" s="206"/>
    </row>
    <row r="92" s="9" customFormat="1" ht="84" customHeight="1" spans="1:79">
      <c r="A92" s="23">
        <f>SUBTOTAL(3,C$7:C92)</f>
        <v>67</v>
      </c>
      <c r="B92" s="55" t="s">
        <v>1339</v>
      </c>
      <c r="C92" s="35" t="s">
        <v>562</v>
      </c>
      <c r="D92" s="55" t="s">
        <v>1340</v>
      </c>
      <c r="E92" s="35" t="s">
        <v>575</v>
      </c>
      <c r="F92" s="35">
        <v>5000</v>
      </c>
      <c r="G92" s="35">
        <v>500</v>
      </c>
      <c r="H92" s="123" t="s">
        <v>1341</v>
      </c>
      <c r="I92" s="67">
        <v>300</v>
      </c>
      <c r="J92" s="67">
        <v>600</v>
      </c>
      <c r="K92" s="67">
        <v>800</v>
      </c>
      <c r="L92" s="35">
        <v>1000</v>
      </c>
      <c r="M92" s="35"/>
      <c r="N92" s="50"/>
      <c r="O92" s="67"/>
      <c r="P92" s="55" t="s">
        <v>2365</v>
      </c>
      <c r="Q92" s="90" t="s">
        <v>117</v>
      </c>
      <c r="R92" s="132"/>
      <c r="S92" s="132"/>
      <c r="T92" s="132"/>
      <c r="U92" s="132"/>
      <c r="V92" s="132"/>
      <c r="W92" s="132"/>
      <c r="X92" s="132"/>
      <c r="Y92" s="132"/>
      <c r="Z92" s="132"/>
      <c r="AA92" s="132"/>
      <c r="AB92" s="132"/>
      <c r="AC92" s="132"/>
      <c r="AD92" s="132"/>
      <c r="AE92" s="132"/>
      <c r="AF92" s="132"/>
      <c r="AG92" s="132"/>
      <c r="AH92" s="132"/>
      <c r="AI92" s="90"/>
      <c r="AJ92" s="262" t="s">
        <v>1170</v>
      </c>
      <c r="AK92" s="34" t="s">
        <v>1321</v>
      </c>
      <c r="AL92" s="35" t="s">
        <v>2037</v>
      </c>
      <c r="AM92" s="35" t="s">
        <v>269</v>
      </c>
      <c r="AN92" s="91"/>
      <c r="AO92" s="157"/>
      <c r="AP92" s="158" t="s">
        <v>2020</v>
      </c>
      <c r="AQ92" s="158" t="s">
        <v>2017</v>
      </c>
      <c r="AR92" s="158" t="str">
        <f t="shared" si="148"/>
        <v>城市基础设施路网工程</v>
      </c>
      <c r="AS92" s="158" t="s">
        <v>2021</v>
      </c>
      <c r="AT92" s="158"/>
      <c r="AU92" s="161"/>
      <c r="AV92" s="161"/>
      <c r="AW92" s="160"/>
      <c r="AX92" s="157"/>
      <c r="AY92" s="157"/>
      <c r="AZ92" s="157"/>
      <c r="BA92" s="157"/>
      <c r="BB92" s="157"/>
      <c r="BC92" s="157"/>
      <c r="BD92" s="157"/>
      <c r="BE92" s="157"/>
      <c r="BF92" s="201" t="s">
        <v>205</v>
      </c>
      <c r="BG92" s="203" t="s">
        <v>1980</v>
      </c>
      <c r="BH92" s="201" t="str">
        <f t="shared" si="149"/>
        <v>政府灵山县人民政府</v>
      </c>
      <c r="BI92" s="201" t="str">
        <f t="shared" si="150"/>
        <v>基础设施灵山县人民政府</v>
      </c>
      <c r="BJ92" s="204">
        <f t="shared" si="151"/>
        <v>0</v>
      </c>
      <c r="BK92" s="157" t="str">
        <f t="shared" si="152"/>
        <v>城市基础设施路网工程1000</v>
      </c>
      <c r="BL92" s="157" t="str">
        <f t="shared" si="153"/>
        <v/>
      </c>
      <c r="BM92" s="157" t="str">
        <f t="shared" si="154"/>
        <v/>
      </c>
      <c r="BN92" s="157"/>
      <c r="BO92" s="157">
        <f t="shared" si="143"/>
        <v>0</v>
      </c>
      <c r="BP92" s="157">
        <f t="shared" si="144"/>
        <v>0</v>
      </c>
      <c r="BQ92" s="157">
        <f t="shared" si="145"/>
        <v>0</v>
      </c>
      <c r="BR92" s="157">
        <f t="shared" si="146"/>
        <v>0</v>
      </c>
      <c r="BS92" s="157">
        <f t="shared" si="147"/>
        <v>0</v>
      </c>
      <c r="BT92" s="181"/>
      <c r="BU92" s="206"/>
      <c r="BW92" s="206"/>
      <c r="BX92" s="224"/>
      <c r="BY92" s="206"/>
      <c r="BZ92" s="206"/>
      <c r="CA92" s="206"/>
    </row>
    <row r="93" ht="61.5" customHeight="1" spans="1:85">
      <c r="A93" s="23">
        <f>SUBTOTAL(3,C$7:C93)</f>
        <v>68</v>
      </c>
      <c r="B93" s="243" t="s">
        <v>1085</v>
      </c>
      <c r="C93" s="35" t="s">
        <v>562</v>
      </c>
      <c r="D93" s="232" t="s">
        <v>1086</v>
      </c>
      <c r="E93" s="35" t="s">
        <v>575</v>
      </c>
      <c r="F93" s="35">
        <v>8100</v>
      </c>
      <c r="G93" s="37">
        <v>500</v>
      </c>
      <c r="H93" s="123" t="s">
        <v>1087</v>
      </c>
      <c r="I93" s="67">
        <v>500</v>
      </c>
      <c r="J93" s="67">
        <v>1500</v>
      </c>
      <c r="K93" s="67">
        <v>2800</v>
      </c>
      <c r="L93" s="37">
        <v>4000</v>
      </c>
      <c r="M93" s="37"/>
      <c r="N93" s="111"/>
      <c r="O93" s="67"/>
      <c r="P93" s="55" t="s">
        <v>2366</v>
      </c>
      <c r="Q93" s="171" t="s">
        <v>2367</v>
      </c>
      <c r="R93" s="132">
        <v>102.24</v>
      </c>
      <c r="S93" s="132">
        <v>90</v>
      </c>
      <c r="T93" s="132">
        <v>12.24</v>
      </c>
      <c r="U93" s="132"/>
      <c r="V93" s="132"/>
      <c r="W93" s="132"/>
      <c r="X93" s="132"/>
      <c r="Y93" s="132"/>
      <c r="Z93" s="132"/>
      <c r="AA93" s="132">
        <v>12.24</v>
      </c>
      <c r="AB93" s="132"/>
      <c r="AC93" s="132">
        <v>12.24</v>
      </c>
      <c r="AD93" s="132">
        <v>4000</v>
      </c>
      <c r="AE93" s="132"/>
      <c r="AF93" s="132">
        <v>3000</v>
      </c>
      <c r="AG93" s="132"/>
      <c r="AH93" s="132">
        <v>1000</v>
      </c>
      <c r="AI93" s="90"/>
      <c r="AJ93" s="90" t="s">
        <v>1088</v>
      </c>
      <c r="AK93" s="595" t="s">
        <v>785</v>
      </c>
      <c r="AL93" s="35" t="s">
        <v>2038</v>
      </c>
      <c r="AM93" s="35" t="s">
        <v>317</v>
      </c>
      <c r="AN93" s="91"/>
      <c r="AO93" s="157"/>
      <c r="AP93" s="158" t="s">
        <v>2020</v>
      </c>
      <c r="AQ93" s="158" t="s">
        <v>2017</v>
      </c>
      <c r="AR93" s="158" t="str">
        <f t="shared" si="148"/>
        <v>城市基础设施路网工程</v>
      </c>
      <c r="AS93" s="158" t="s">
        <v>2021</v>
      </c>
      <c r="AT93" s="158"/>
      <c r="AU93" s="161"/>
      <c r="AV93" s="161"/>
      <c r="AW93" s="160"/>
      <c r="AX93" s="157"/>
      <c r="AY93" s="157"/>
      <c r="AZ93" s="157"/>
      <c r="BA93" s="157"/>
      <c r="BB93" s="157"/>
      <c r="BC93" s="157"/>
      <c r="BD93" s="157"/>
      <c r="BE93" s="157"/>
      <c r="BF93" s="201" t="s">
        <v>205</v>
      </c>
      <c r="BG93" s="203" t="s">
        <v>1980</v>
      </c>
      <c r="BH93" s="201" t="str">
        <f t="shared" si="149"/>
        <v>政府浦北县人民政府</v>
      </c>
      <c r="BI93" s="201" t="str">
        <f t="shared" si="150"/>
        <v>基础设施浦北县人民政府</v>
      </c>
      <c r="BJ93" s="204">
        <f t="shared" si="151"/>
        <v>0</v>
      </c>
      <c r="BK93" s="157" t="str">
        <f t="shared" si="152"/>
        <v>城市基础设施路网工程1000</v>
      </c>
      <c r="BL93" s="157" t="str">
        <f t="shared" si="153"/>
        <v>城市基础设施路网工程2000</v>
      </c>
      <c r="BM93" s="157" t="str">
        <f t="shared" si="154"/>
        <v/>
      </c>
      <c r="BN93" s="157"/>
      <c r="BO93" s="157">
        <f t="shared" si="143"/>
        <v>1</v>
      </c>
      <c r="BP93" s="157">
        <f t="shared" si="144"/>
        <v>0</v>
      </c>
      <c r="BQ93" s="157">
        <f t="shared" si="145"/>
        <v>0</v>
      </c>
      <c r="BR93" s="157">
        <f t="shared" si="146"/>
        <v>1</v>
      </c>
      <c r="BS93" s="157">
        <f t="shared" si="147"/>
        <v>1</v>
      </c>
      <c r="BT93" s="181"/>
      <c r="BU93" s="206"/>
      <c r="BX93" s="206"/>
      <c r="CB93" s="4"/>
      <c r="CC93" s="4"/>
      <c r="CD93" s="4"/>
      <c r="CE93" s="4"/>
      <c r="CF93" s="4"/>
      <c r="CG93" s="4"/>
    </row>
    <row r="94" ht="48" customHeight="1" spans="1:85">
      <c r="A94" s="23">
        <f>SUBTOTAL(3,C$7:C94)</f>
        <v>69</v>
      </c>
      <c r="B94" s="243" t="s">
        <v>2368</v>
      </c>
      <c r="C94" s="35" t="s">
        <v>562</v>
      </c>
      <c r="D94" s="232" t="s">
        <v>1091</v>
      </c>
      <c r="E94" s="35" t="s">
        <v>575</v>
      </c>
      <c r="F94" s="35">
        <v>5514</v>
      </c>
      <c r="G94" s="37">
        <v>300</v>
      </c>
      <c r="H94" s="123" t="s">
        <v>1092</v>
      </c>
      <c r="I94" s="67">
        <v>200</v>
      </c>
      <c r="J94" s="67">
        <v>800</v>
      </c>
      <c r="K94" s="67">
        <v>1500</v>
      </c>
      <c r="L94" s="37">
        <v>2000</v>
      </c>
      <c r="M94" s="37"/>
      <c r="N94" s="50"/>
      <c r="O94" s="134"/>
      <c r="P94" s="171" t="s">
        <v>2369</v>
      </c>
      <c r="Q94" s="171" t="s">
        <v>2370</v>
      </c>
      <c r="R94" s="132">
        <v>105.732</v>
      </c>
      <c r="S94" s="132">
        <v>26.457</v>
      </c>
      <c r="T94" s="132">
        <v>79.275</v>
      </c>
      <c r="U94" s="132"/>
      <c r="V94" s="132"/>
      <c r="W94" s="132"/>
      <c r="X94" s="132"/>
      <c r="Y94" s="132"/>
      <c r="Z94" s="132"/>
      <c r="AA94" s="132"/>
      <c r="AB94" s="132"/>
      <c r="AC94" s="132"/>
      <c r="AD94" s="132">
        <v>2000</v>
      </c>
      <c r="AE94" s="132"/>
      <c r="AF94" s="132">
        <v>800</v>
      </c>
      <c r="AG94" s="132"/>
      <c r="AH94" s="132">
        <v>1200</v>
      </c>
      <c r="AI94" s="90"/>
      <c r="AJ94" s="90" t="s">
        <v>1093</v>
      </c>
      <c r="AK94" s="595" t="s">
        <v>785</v>
      </c>
      <c r="AL94" s="35" t="s">
        <v>2038</v>
      </c>
      <c r="AM94" s="35" t="s">
        <v>317</v>
      </c>
      <c r="AN94" s="91"/>
      <c r="AO94" s="157"/>
      <c r="AP94" s="158" t="s">
        <v>2020</v>
      </c>
      <c r="AQ94" s="158" t="s">
        <v>2017</v>
      </c>
      <c r="AR94" s="158" t="str">
        <f t="shared" si="148"/>
        <v>城市基础设施路网工程</v>
      </c>
      <c r="AS94" s="158" t="s">
        <v>2021</v>
      </c>
      <c r="AT94" s="158"/>
      <c r="AU94" s="161"/>
      <c r="AV94" s="161"/>
      <c r="AW94" s="160"/>
      <c r="AX94" s="157"/>
      <c r="AY94" s="157"/>
      <c r="AZ94" s="157"/>
      <c r="BA94" s="157"/>
      <c r="BB94" s="157"/>
      <c r="BC94" s="157"/>
      <c r="BD94" s="157"/>
      <c r="BE94" s="157"/>
      <c r="BF94" s="201" t="s">
        <v>205</v>
      </c>
      <c r="BG94" s="203" t="s">
        <v>1980</v>
      </c>
      <c r="BH94" s="201" t="str">
        <f t="shared" si="149"/>
        <v>政府浦北县人民政府</v>
      </c>
      <c r="BI94" s="201" t="str">
        <f t="shared" si="150"/>
        <v>基础设施浦北县人民政府</v>
      </c>
      <c r="BJ94" s="204">
        <f t="shared" si="151"/>
        <v>0</v>
      </c>
      <c r="BK94" s="157" t="str">
        <f t="shared" si="152"/>
        <v>城市基础设施路网工程1000</v>
      </c>
      <c r="BL94" s="157" t="str">
        <f t="shared" si="153"/>
        <v>城市基础设施路网工程2000</v>
      </c>
      <c r="BM94" s="157" t="str">
        <f t="shared" si="154"/>
        <v/>
      </c>
      <c r="BN94" s="157"/>
      <c r="BO94" s="157">
        <f t="shared" si="143"/>
        <v>1</v>
      </c>
      <c r="BP94" s="157">
        <f t="shared" si="144"/>
        <v>0</v>
      </c>
      <c r="BQ94" s="157">
        <f t="shared" si="145"/>
        <v>0</v>
      </c>
      <c r="BR94" s="157">
        <f t="shared" si="146"/>
        <v>0</v>
      </c>
      <c r="BS94" s="157">
        <f t="shared" si="147"/>
        <v>1</v>
      </c>
      <c r="BT94" s="181"/>
      <c r="BU94" s="206"/>
      <c r="BX94" s="224"/>
      <c r="CB94" s="4"/>
      <c r="CC94" s="4"/>
      <c r="CD94" s="4"/>
      <c r="CE94" s="4"/>
      <c r="CF94" s="4"/>
      <c r="CG94" s="4"/>
    </row>
    <row r="95" s="9" customFormat="1" ht="30" customHeight="1" spans="1:72">
      <c r="A95" s="551"/>
      <c r="B95" s="557" t="str">
        <f>"供水工程（"&amp;SUBTOTAL(3,C96:C99)&amp;"个）"</f>
        <v>供水工程（4个）</v>
      </c>
      <c r="C95" s="551"/>
      <c r="D95" s="554"/>
      <c r="E95" s="551"/>
      <c r="F95" s="134">
        <f t="shared" ref="F95:M95" si="156">SUBTOTAL(9,F96:F99)</f>
        <v>68777</v>
      </c>
      <c r="G95" s="134">
        <f t="shared" si="156"/>
        <v>25016</v>
      </c>
      <c r="H95" s="134"/>
      <c r="I95" s="134">
        <f t="shared" si="156"/>
        <v>1100</v>
      </c>
      <c r="J95" s="134">
        <f t="shared" si="156"/>
        <v>4300</v>
      </c>
      <c r="K95" s="134">
        <f t="shared" si="156"/>
        <v>6521</v>
      </c>
      <c r="L95" s="134">
        <f t="shared" si="156"/>
        <v>9371</v>
      </c>
      <c r="M95" s="134">
        <f t="shared" si="156"/>
        <v>0</v>
      </c>
      <c r="N95" s="134"/>
      <c r="O95" s="134"/>
      <c r="P95" s="674"/>
      <c r="Q95" s="90"/>
      <c r="R95" s="132"/>
      <c r="S95" s="132"/>
      <c r="T95" s="132"/>
      <c r="U95" s="132"/>
      <c r="V95" s="132"/>
      <c r="W95" s="132"/>
      <c r="X95" s="132"/>
      <c r="Y95" s="132"/>
      <c r="Z95" s="132"/>
      <c r="AA95" s="132"/>
      <c r="AB95" s="132"/>
      <c r="AC95" s="132"/>
      <c r="AD95" s="132"/>
      <c r="AE95" s="132"/>
      <c r="AF95" s="132"/>
      <c r="AG95" s="132"/>
      <c r="AH95" s="132"/>
      <c r="AI95" s="90"/>
      <c r="AJ95" s="90"/>
      <c r="AK95" s="591"/>
      <c r="AL95" s="134"/>
      <c r="AM95" s="134"/>
      <c r="AN95" s="91"/>
      <c r="AO95" s="165"/>
      <c r="AP95" s="158"/>
      <c r="AQ95" s="158"/>
      <c r="AR95" s="158"/>
      <c r="AS95" s="158"/>
      <c r="AT95" s="158"/>
      <c r="AU95" s="165"/>
      <c r="AV95" s="169"/>
      <c r="AW95" s="165"/>
      <c r="AX95" s="165"/>
      <c r="AY95" s="165"/>
      <c r="AZ95" s="165"/>
      <c r="BA95" s="165"/>
      <c r="BB95" s="169"/>
      <c r="BC95" s="169"/>
      <c r="BD95" s="169"/>
      <c r="BE95" s="165"/>
      <c r="BF95" s="201"/>
      <c r="BG95" s="685"/>
      <c r="BK95" s="201"/>
      <c r="BL95" s="201"/>
      <c r="BM95" s="201"/>
      <c r="BN95" s="201"/>
      <c r="BO95" s="201"/>
      <c r="BP95" s="201"/>
      <c r="BQ95" s="201"/>
      <c r="BR95" s="201"/>
      <c r="BS95" s="201"/>
      <c r="BT95" s="181"/>
    </row>
    <row r="96" ht="117" customHeight="1" spans="1:85">
      <c r="A96" s="23">
        <f>SUBTOTAL(3,C$7:C96)</f>
        <v>70</v>
      </c>
      <c r="B96" s="55" t="s">
        <v>1236</v>
      </c>
      <c r="C96" s="23" t="s">
        <v>562</v>
      </c>
      <c r="D96" s="60" t="s">
        <v>1237</v>
      </c>
      <c r="E96" s="23" t="s">
        <v>575</v>
      </c>
      <c r="F96" s="67">
        <v>17926</v>
      </c>
      <c r="G96" s="38">
        <v>2532</v>
      </c>
      <c r="H96" s="123" t="s">
        <v>2371</v>
      </c>
      <c r="I96" s="67">
        <v>800</v>
      </c>
      <c r="J96" s="67">
        <v>2200</v>
      </c>
      <c r="K96" s="67">
        <v>3750</v>
      </c>
      <c r="L96" s="38">
        <v>6000</v>
      </c>
      <c r="M96" s="38"/>
      <c r="N96" s="111"/>
      <c r="O96" s="67"/>
      <c r="P96" s="90" t="s">
        <v>2372</v>
      </c>
      <c r="Q96" s="90" t="s">
        <v>2373</v>
      </c>
      <c r="R96" s="132">
        <v>250</v>
      </c>
      <c r="S96" s="132">
        <v>0</v>
      </c>
      <c r="T96" s="132">
        <v>250</v>
      </c>
      <c r="U96" s="132">
        <v>97</v>
      </c>
      <c r="V96" s="132">
        <v>97</v>
      </c>
      <c r="W96" s="132"/>
      <c r="X96" s="713"/>
      <c r="Y96" s="713"/>
      <c r="Z96" s="713"/>
      <c r="AA96" s="132">
        <v>250</v>
      </c>
      <c r="AB96" s="132">
        <v>30</v>
      </c>
      <c r="AC96" s="132">
        <v>220</v>
      </c>
      <c r="AD96" s="132">
        <v>6000</v>
      </c>
      <c r="AE96" s="132"/>
      <c r="AF96" s="132"/>
      <c r="AG96" s="132"/>
      <c r="AH96" s="132">
        <v>6000</v>
      </c>
      <c r="AI96" s="90"/>
      <c r="AJ96" s="90" t="s">
        <v>1239</v>
      </c>
      <c r="AK96" s="123" t="s">
        <v>455</v>
      </c>
      <c r="AL96" s="67" t="s">
        <v>2374</v>
      </c>
      <c r="AM96" s="67" t="s">
        <v>986</v>
      </c>
      <c r="AN96" s="91"/>
      <c r="AO96" s="157"/>
      <c r="AP96" s="158" t="s">
        <v>2039</v>
      </c>
      <c r="AQ96" s="158" t="s">
        <v>2017</v>
      </c>
      <c r="AR96" s="158" t="str">
        <f t="shared" ref="AR96:AR99" si="157">AQ96&amp;AP96</f>
        <v>城市基础设施供水工程</v>
      </c>
      <c r="AS96" s="158" t="s">
        <v>2018</v>
      </c>
      <c r="AT96" s="158"/>
      <c r="AU96" s="157"/>
      <c r="AV96" s="272"/>
      <c r="AW96" s="160"/>
      <c r="AX96" s="157"/>
      <c r="AY96" s="157"/>
      <c r="AZ96" s="157"/>
      <c r="BA96" s="157"/>
      <c r="BB96" s="157"/>
      <c r="BC96" s="157"/>
      <c r="BD96" s="157"/>
      <c r="BE96" s="157"/>
      <c r="BF96" s="202" t="s">
        <v>205</v>
      </c>
      <c r="BG96" s="203" t="s">
        <v>1980</v>
      </c>
      <c r="BH96" s="201" t="str">
        <f t="shared" ref="BH96:BH99" si="158">BF96&amp;AM96</f>
        <v>政府市城管执法局</v>
      </c>
      <c r="BI96" s="201" t="str">
        <f t="shared" ref="BI96:BI99" si="159">BG96&amp;AM96</f>
        <v>基础设施市城管执法局</v>
      </c>
      <c r="BJ96" s="204" t="e">
        <f>IF(#REF!&gt;0,1,0)</f>
        <v>#REF!</v>
      </c>
      <c r="BK96" s="157" t="e">
        <f>IF(#REF!&lt;1000,"",AR96&amp;"1000")</f>
        <v>#REF!</v>
      </c>
      <c r="BL96" s="157" t="e">
        <f>IF(#REF!&lt;2000,"",AR96&amp;"2000")</f>
        <v>#REF!</v>
      </c>
      <c r="BM96" s="157" t="e">
        <f>IF(#REF!&lt;5000,"",AR96&amp;"5000")</f>
        <v>#REF!</v>
      </c>
      <c r="BN96" s="157"/>
      <c r="BO96" s="157">
        <f t="shared" ref="BO96:BO99" si="160">IF(R96&gt;0,1,0)</f>
        <v>1</v>
      </c>
      <c r="BP96" s="157">
        <f t="shared" ref="BP96:BP99" si="161">IF(X96&gt;0,1,0)</f>
        <v>0</v>
      </c>
      <c r="BQ96" s="157">
        <f t="shared" ref="BQ96:BQ99" si="162">IF(U96&gt;0,1,0)</f>
        <v>1</v>
      </c>
      <c r="BR96" s="157">
        <f t="shared" ref="BR96:BR99" si="163">IF(AA96&gt;0,1,0)</f>
        <v>1</v>
      </c>
      <c r="BS96" s="157">
        <f t="shared" ref="BS96:BS99" si="164">IF(AD96&gt;0,1,0)</f>
        <v>1</v>
      </c>
      <c r="BT96" s="181"/>
      <c r="BU96" s="206"/>
      <c r="BW96" s="7"/>
      <c r="BX96" s="7"/>
      <c r="BY96" s="7"/>
      <c r="BZ96" s="7"/>
      <c r="CA96" s="7"/>
      <c r="CB96" s="4"/>
      <c r="CC96" s="4"/>
      <c r="CD96" s="4"/>
      <c r="CE96" s="4"/>
      <c r="CF96" s="4"/>
      <c r="CG96" s="4"/>
    </row>
    <row r="97" ht="81.75" customHeight="1" spans="1:85">
      <c r="A97" s="23">
        <f>SUBTOTAL(3,C$7:C97)</f>
        <v>71</v>
      </c>
      <c r="B97" s="55" t="s">
        <v>1240</v>
      </c>
      <c r="C97" s="35" t="s">
        <v>562</v>
      </c>
      <c r="D97" s="55" t="s">
        <v>1241</v>
      </c>
      <c r="E97" s="35" t="s">
        <v>1242</v>
      </c>
      <c r="F97" s="38">
        <v>40354</v>
      </c>
      <c r="G97" s="38">
        <v>21305</v>
      </c>
      <c r="H97" s="123" t="s">
        <v>1243</v>
      </c>
      <c r="I97" s="67">
        <v>100</v>
      </c>
      <c r="J97" s="67">
        <v>400</v>
      </c>
      <c r="K97" s="67">
        <v>700</v>
      </c>
      <c r="L97" s="38">
        <v>1000</v>
      </c>
      <c r="M97" s="38"/>
      <c r="N97" s="67"/>
      <c r="O97" s="582"/>
      <c r="P97" s="90" t="s">
        <v>2375</v>
      </c>
      <c r="Q97" s="137" t="s">
        <v>117</v>
      </c>
      <c r="R97" s="115"/>
      <c r="S97" s="115"/>
      <c r="T97" s="115"/>
      <c r="U97" s="115"/>
      <c r="V97" s="115"/>
      <c r="W97" s="115"/>
      <c r="X97" s="115"/>
      <c r="Y97" s="115"/>
      <c r="Z97" s="115"/>
      <c r="AA97" s="115"/>
      <c r="AB97" s="115"/>
      <c r="AC97" s="115"/>
      <c r="AD97" s="115">
        <v>1000</v>
      </c>
      <c r="AE97" s="115"/>
      <c r="AF97" s="115"/>
      <c r="AG97" s="115"/>
      <c r="AH97" s="115">
        <v>1000</v>
      </c>
      <c r="AI97" s="90"/>
      <c r="AJ97" s="90" t="s">
        <v>737</v>
      </c>
      <c r="AK97" s="123" t="s">
        <v>455</v>
      </c>
      <c r="AL97" s="35" t="s">
        <v>2376</v>
      </c>
      <c r="AM97" s="35" t="s">
        <v>986</v>
      </c>
      <c r="AN97" s="34"/>
      <c r="AO97" s="157"/>
      <c r="AP97" s="158" t="s">
        <v>2039</v>
      </c>
      <c r="AQ97" s="158" t="s">
        <v>2017</v>
      </c>
      <c r="AR97" s="158" t="str">
        <f t="shared" si="157"/>
        <v>城市基础设施供水工程</v>
      </c>
      <c r="AS97" s="158" t="s">
        <v>2018</v>
      </c>
      <c r="AT97" s="158"/>
      <c r="AU97" s="157"/>
      <c r="AV97" s="159"/>
      <c r="AW97" s="160"/>
      <c r="AX97" s="157"/>
      <c r="AY97" s="157"/>
      <c r="AZ97" s="157"/>
      <c r="BA97" s="157"/>
      <c r="BB97" s="157"/>
      <c r="BC97" s="157"/>
      <c r="BD97" s="157"/>
      <c r="BE97" s="157"/>
      <c r="BF97" s="202" t="s">
        <v>205</v>
      </c>
      <c r="BG97" s="203" t="s">
        <v>1980</v>
      </c>
      <c r="BH97" s="201" t="str">
        <f t="shared" si="158"/>
        <v>政府市城管执法局</v>
      </c>
      <c r="BI97" s="201" t="str">
        <f t="shared" si="159"/>
        <v>基础设施市城管执法局</v>
      </c>
      <c r="BJ97" s="204">
        <f>IF(N96&gt;0,1,0)</f>
        <v>0</v>
      </c>
      <c r="BK97" s="157" t="str">
        <f>IF(L96&lt;1000,"",AR97&amp;"1000")</f>
        <v>城市基础设施供水工程1000</v>
      </c>
      <c r="BL97" s="157" t="str">
        <f>IF(L96&lt;2000,"",AR97&amp;"2000")</f>
        <v>城市基础设施供水工程2000</v>
      </c>
      <c r="BM97" s="157" t="str">
        <f>IF(L96&lt;5000,"",AR97&amp;"5000")</f>
        <v>城市基础设施供水工程5000</v>
      </c>
      <c r="BN97" s="157"/>
      <c r="BO97" s="157">
        <f t="shared" si="160"/>
        <v>0</v>
      </c>
      <c r="BP97" s="157">
        <f t="shared" si="161"/>
        <v>0</v>
      </c>
      <c r="BQ97" s="157">
        <f t="shared" si="162"/>
        <v>0</v>
      </c>
      <c r="BR97" s="157">
        <f t="shared" si="163"/>
        <v>0</v>
      </c>
      <c r="BS97" s="157">
        <f t="shared" si="164"/>
        <v>1</v>
      </c>
      <c r="BT97" s="181"/>
      <c r="BU97" s="206"/>
      <c r="BW97" s="7"/>
      <c r="BX97" s="7"/>
      <c r="BY97" s="7"/>
      <c r="BZ97" s="7"/>
      <c r="CA97" s="7"/>
      <c r="CB97" s="4"/>
      <c r="CC97" s="4"/>
      <c r="CD97" s="4"/>
      <c r="CE97" s="4"/>
      <c r="CF97" s="4"/>
      <c r="CG97" s="4"/>
    </row>
    <row r="98" ht="81" customHeight="1" spans="1:85">
      <c r="A98" s="23">
        <f>SUBTOTAL(3,C$7:C98)</f>
        <v>72</v>
      </c>
      <c r="B98" s="55" t="s">
        <v>1244</v>
      </c>
      <c r="C98" s="35" t="s">
        <v>562</v>
      </c>
      <c r="D98" s="55" t="s">
        <v>2377</v>
      </c>
      <c r="E98" s="35" t="s">
        <v>564</v>
      </c>
      <c r="F98" s="38">
        <v>5497</v>
      </c>
      <c r="G98" s="38">
        <v>679</v>
      </c>
      <c r="H98" s="123" t="s">
        <v>1246</v>
      </c>
      <c r="I98" s="67">
        <v>100</v>
      </c>
      <c r="J98" s="67">
        <v>400</v>
      </c>
      <c r="K98" s="67">
        <v>700</v>
      </c>
      <c r="L98" s="38">
        <v>1000</v>
      </c>
      <c r="M98" s="38"/>
      <c r="N98" s="111"/>
      <c r="O98" s="67"/>
      <c r="P98" s="90" t="s">
        <v>2378</v>
      </c>
      <c r="Q98" s="90" t="s">
        <v>2379</v>
      </c>
      <c r="R98" s="132">
        <v>10.98</v>
      </c>
      <c r="S98" s="132">
        <v>10.98</v>
      </c>
      <c r="T98" s="132"/>
      <c r="U98" s="132">
        <v>6.3</v>
      </c>
      <c r="V98" s="132">
        <v>6.3</v>
      </c>
      <c r="W98" s="132"/>
      <c r="X98" s="132"/>
      <c r="Y98" s="132"/>
      <c r="Z98" s="132"/>
      <c r="AA98" s="132">
        <v>50.87</v>
      </c>
      <c r="AB98" s="132">
        <v>50.87</v>
      </c>
      <c r="AC98" s="132"/>
      <c r="AD98" s="132">
        <v>1000</v>
      </c>
      <c r="AE98" s="132"/>
      <c r="AF98" s="132"/>
      <c r="AG98" s="132"/>
      <c r="AH98" s="132">
        <v>1000</v>
      </c>
      <c r="AI98" s="90"/>
      <c r="AJ98" s="90" t="s">
        <v>1247</v>
      </c>
      <c r="AK98" s="123" t="s">
        <v>455</v>
      </c>
      <c r="AL98" s="35" t="s">
        <v>2380</v>
      </c>
      <c r="AM98" s="35" t="s">
        <v>986</v>
      </c>
      <c r="AN98" s="34"/>
      <c r="AO98" s="157"/>
      <c r="AP98" s="158" t="s">
        <v>2039</v>
      </c>
      <c r="AQ98" s="158" t="s">
        <v>2017</v>
      </c>
      <c r="AR98" s="158" t="str">
        <f t="shared" si="157"/>
        <v>城市基础设施供水工程</v>
      </c>
      <c r="AS98" s="158" t="s">
        <v>2018</v>
      </c>
      <c r="AT98" s="158"/>
      <c r="AU98" s="157"/>
      <c r="AV98" s="272"/>
      <c r="AW98" s="160"/>
      <c r="AX98" s="157"/>
      <c r="AY98" s="157"/>
      <c r="AZ98" s="157"/>
      <c r="BA98" s="157"/>
      <c r="BB98" s="157"/>
      <c r="BC98" s="157"/>
      <c r="BD98" s="157"/>
      <c r="BE98" s="157"/>
      <c r="BF98" s="202" t="s">
        <v>205</v>
      </c>
      <c r="BG98" s="203" t="s">
        <v>1980</v>
      </c>
      <c r="BH98" s="201" t="str">
        <f t="shared" si="158"/>
        <v>政府市城管执法局</v>
      </c>
      <c r="BI98" s="201" t="str">
        <f t="shared" si="159"/>
        <v>基础设施市城管执法局</v>
      </c>
      <c r="BJ98" s="204">
        <f>IF(N97&gt;0,1,0)</f>
        <v>0</v>
      </c>
      <c r="BK98" s="157" t="str">
        <f>IF(L97&lt;1000,"",AR98&amp;"1000")</f>
        <v>城市基础设施供水工程1000</v>
      </c>
      <c r="BL98" s="157" t="str">
        <f>IF(L97&lt;2000,"",AR98&amp;"2000")</f>
        <v/>
      </c>
      <c r="BM98" s="157" t="str">
        <f>IF(L97&lt;5000,"",AR98&amp;"5000")</f>
        <v/>
      </c>
      <c r="BN98" s="157"/>
      <c r="BO98" s="157">
        <f t="shared" si="160"/>
        <v>1</v>
      </c>
      <c r="BP98" s="157">
        <f t="shared" si="161"/>
        <v>0</v>
      </c>
      <c r="BQ98" s="157">
        <f t="shared" si="162"/>
        <v>1</v>
      </c>
      <c r="BR98" s="157">
        <f t="shared" si="163"/>
        <v>1</v>
      </c>
      <c r="BS98" s="157">
        <f t="shared" si="164"/>
        <v>1</v>
      </c>
      <c r="BT98" s="181"/>
      <c r="BU98" s="206"/>
      <c r="BW98" s="7"/>
      <c r="BX98" s="7"/>
      <c r="BY98" s="7"/>
      <c r="BZ98" s="7"/>
      <c r="CA98" s="7"/>
      <c r="CB98" s="4"/>
      <c r="CC98" s="4"/>
      <c r="CD98" s="4"/>
      <c r="CE98" s="4"/>
      <c r="CF98" s="4"/>
      <c r="CG98" s="4"/>
    </row>
    <row r="99" ht="60.95" customHeight="1" spans="1:85">
      <c r="A99" s="23">
        <f>SUBTOTAL(3,C$7:C99)</f>
        <v>73</v>
      </c>
      <c r="B99" s="55" t="s">
        <v>988</v>
      </c>
      <c r="C99" s="35" t="s">
        <v>562</v>
      </c>
      <c r="D99" s="55" t="s">
        <v>989</v>
      </c>
      <c r="E99" s="35" t="s">
        <v>575</v>
      </c>
      <c r="F99" s="38">
        <v>5000</v>
      </c>
      <c r="G99" s="38">
        <v>500</v>
      </c>
      <c r="H99" s="123" t="s">
        <v>990</v>
      </c>
      <c r="I99" s="67">
        <v>100</v>
      </c>
      <c r="J99" s="67">
        <v>1300</v>
      </c>
      <c r="K99" s="67">
        <v>1371</v>
      </c>
      <c r="L99" s="38">
        <v>1371</v>
      </c>
      <c r="M99" s="38"/>
      <c r="N99" s="111"/>
      <c r="O99" s="67"/>
      <c r="P99" s="90" t="s">
        <v>1999</v>
      </c>
      <c r="Q99" s="90" t="s">
        <v>2381</v>
      </c>
      <c r="R99" s="132"/>
      <c r="S99" s="132"/>
      <c r="T99" s="132"/>
      <c r="U99" s="132"/>
      <c r="V99" s="132"/>
      <c r="W99" s="132"/>
      <c r="X99" s="132"/>
      <c r="Y99" s="132"/>
      <c r="Z99" s="132"/>
      <c r="AA99" s="132"/>
      <c r="AB99" s="132"/>
      <c r="AC99" s="132"/>
      <c r="AD99" s="132">
        <v>1400</v>
      </c>
      <c r="AE99" s="132"/>
      <c r="AF99" s="132"/>
      <c r="AG99" s="132"/>
      <c r="AH99" s="132">
        <v>1400</v>
      </c>
      <c r="AI99" s="90"/>
      <c r="AJ99" s="90" t="s">
        <v>117</v>
      </c>
      <c r="AK99" s="123" t="s">
        <v>455</v>
      </c>
      <c r="AL99" s="35" t="s">
        <v>2382</v>
      </c>
      <c r="AM99" s="35" t="s">
        <v>986</v>
      </c>
      <c r="AN99" s="34"/>
      <c r="AO99" s="157"/>
      <c r="AP99" s="158" t="s">
        <v>2039</v>
      </c>
      <c r="AQ99" s="158" t="s">
        <v>2017</v>
      </c>
      <c r="AR99" s="158" t="str">
        <f t="shared" si="157"/>
        <v>城市基础设施供水工程</v>
      </c>
      <c r="AS99" s="158" t="s">
        <v>2018</v>
      </c>
      <c r="AT99" s="158"/>
      <c r="AU99" s="161"/>
      <c r="AV99" s="161"/>
      <c r="AW99" s="160"/>
      <c r="AX99" s="157"/>
      <c r="AY99" s="157"/>
      <c r="AZ99" s="157"/>
      <c r="BA99" s="157"/>
      <c r="BB99" s="157"/>
      <c r="BC99" s="157"/>
      <c r="BD99" s="157"/>
      <c r="BE99" s="157"/>
      <c r="BF99" s="202" t="s">
        <v>205</v>
      </c>
      <c r="BG99" s="203" t="s">
        <v>1980</v>
      </c>
      <c r="BH99" s="201" t="str">
        <f t="shared" si="158"/>
        <v>政府市城管执法局</v>
      </c>
      <c r="BI99" s="201" t="str">
        <f t="shared" si="159"/>
        <v>基础设施市城管执法局</v>
      </c>
      <c r="BJ99" s="204">
        <f t="shared" ref="BJ99:BJ102" si="165">IF(N99&gt;0,1,0)</f>
        <v>0</v>
      </c>
      <c r="BK99" s="157" t="str">
        <f t="shared" ref="BK99:BK102" si="166">IF(L99&lt;1000,"",AR99&amp;"1000")</f>
        <v>城市基础设施供水工程1000</v>
      </c>
      <c r="BL99" s="157" t="str">
        <f t="shared" ref="BL99:BL102" si="167">IF(L99&lt;2000,"",AR99&amp;"2000")</f>
        <v/>
      </c>
      <c r="BM99" s="157" t="str">
        <f t="shared" ref="BM99:BM102" si="168">IF(L99&lt;5000,"",AR99&amp;"5000")</f>
        <v/>
      </c>
      <c r="BN99" s="157"/>
      <c r="BO99" s="157">
        <f t="shared" si="160"/>
        <v>0</v>
      </c>
      <c r="BP99" s="157">
        <f t="shared" si="161"/>
        <v>0</v>
      </c>
      <c r="BQ99" s="157">
        <f t="shared" si="162"/>
        <v>0</v>
      </c>
      <c r="BR99" s="157">
        <f t="shared" si="163"/>
        <v>0</v>
      </c>
      <c r="BS99" s="157">
        <f t="shared" si="164"/>
        <v>1</v>
      </c>
      <c r="BT99" s="181"/>
      <c r="BU99" s="206"/>
      <c r="BW99" s="7"/>
      <c r="BX99" s="7"/>
      <c r="BY99" s="7"/>
      <c r="BZ99" s="7"/>
      <c r="CA99" s="7"/>
      <c r="CB99" s="4"/>
      <c r="CC99" s="4"/>
      <c r="CD99" s="4"/>
      <c r="CE99" s="4"/>
      <c r="CF99" s="4"/>
      <c r="CG99" s="4"/>
    </row>
    <row r="100" s="9" customFormat="1" ht="30" customHeight="1" spans="1:72">
      <c r="A100" s="551"/>
      <c r="B100" s="557" t="str">
        <f>"供电工程（"&amp;SUBTOTAL(3,C101:C102)&amp;"个）"</f>
        <v>供电工程（2个）</v>
      </c>
      <c r="C100" s="551"/>
      <c r="D100" s="554"/>
      <c r="E100" s="551"/>
      <c r="F100" s="134">
        <f t="shared" ref="F100:M100" si="169">SUBTOTAL(9,F101:F102)</f>
        <v>11340</v>
      </c>
      <c r="G100" s="134">
        <f t="shared" si="169"/>
        <v>2553</v>
      </c>
      <c r="H100" s="134"/>
      <c r="I100" s="134">
        <f t="shared" si="169"/>
        <v>940</v>
      </c>
      <c r="J100" s="134">
        <f t="shared" si="169"/>
        <v>2150</v>
      </c>
      <c r="K100" s="134">
        <f t="shared" si="169"/>
        <v>3500</v>
      </c>
      <c r="L100" s="134">
        <f t="shared" si="169"/>
        <v>4600</v>
      </c>
      <c r="M100" s="134">
        <f t="shared" si="169"/>
        <v>0</v>
      </c>
      <c r="N100" s="134"/>
      <c r="O100" s="134"/>
      <c r="P100" s="674"/>
      <c r="Q100" s="90"/>
      <c r="R100" s="132"/>
      <c r="S100" s="132"/>
      <c r="T100" s="132"/>
      <c r="U100" s="132"/>
      <c r="V100" s="132"/>
      <c r="W100" s="132"/>
      <c r="X100" s="132"/>
      <c r="Y100" s="132"/>
      <c r="Z100" s="132"/>
      <c r="AA100" s="132"/>
      <c r="AB100" s="132"/>
      <c r="AC100" s="132"/>
      <c r="AD100" s="132"/>
      <c r="AE100" s="132"/>
      <c r="AF100" s="132"/>
      <c r="AG100" s="132"/>
      <c r="AH100" s="132"/>
      <c r="AI100" s="90"/>
      <c r="AJ100" s="90"/>
      <c r="AK100" s="591"/>
      <c r="AL100" s="134"/>
      <c r="AM100" s="134"/>
      <c r="AN100" s="91"/>
      <c r="AO100" s="165"/>
      <c r="AP100" s="158"/>
      <c r="AQ100" s="158"/>
      <c r="AR100" s="158"/>
      <c r="AS100" s="158"/>
      <c r="AT100" s="158"/>
      <c r="AU100" s="165"/>
      <c r="AV100" s="169"/>
      <c r="AW100" s="165"/>
      <c r="AX100" s="165"/>
      <c r="AY100" s="165"/>
      <c r="AZ100" s="165"/>
      <c r="BA100" s="165"/>
      <c r="BB100" s="169"/>
      <c r="BC100" s="169"/>
      <c r="BD100" s="169"/>
      <c r="BE100" s="165"/>
      <c r="BF100" s="201"/>
      <c r="BG100" s="685"/>
      <c r="BK100" s="201"/>
      <c r="BL100" s="201"/>
      <c r="BM100" s="201"/>
      <c r="BN100" s="201"/>
      <c r="BO100" s="201"/>
      <c r="BP100" s="201"/>
      <c r="BQ100" s="201"/>
      <c r="BR100" s="201"/>
      <c r="BS100" s="201"/>
      <c r="BT100" s="181"/>
    </row>
    <row r="101" ht="57" customHeight="1" spans="1:85">
      <c r="A101" s="23">
        <f>SUBTOTAL(3,C$7:C101)</f>
        <v>74</v>
      </c>
      <c r="B101" s="60" t="s">
        <v>1641</v>
      </c>
      <c r="C101" s="59" t="s">
        <v>562</v>
      </c>
      <c r="D101" s="60" t="s">
        <v>1642</v>
      </c>
      <c r="E101" s="59" t="s">
        <v>627</v>
      </c>
      <c r="F101" s="59">
        <v>5060</v>
      </c>
      <c r="G101" s="59">
        <v>1547</v>
      </c>
      <c r="H101" s="595" t="s">
        <v>1589</v>
      </c>
      <c r="I101" s="76">
        <v>400</v>
      </c>
      <c r="J101" s="76">
        <v>800</v>
      </c>
      <c r="K101" s="76">
        <v>1400</v>
      </c>
      <c r="L101" s="59">
        <v>2100</v>
      </c>
      <c r="M101" s="59"/>
      <c r="N101" s="111"/>
      <c r="O101" s="67"/>
      <c r="P101" s="60" t="s">
        <v>2383</v>
      </c>
      <c r="Q101" s="60" t="s">
        <v>1643</v>
      </c>
      <c r="R101" s="251">
        <v>8.52</v>
      </c>
      <c r="S101" s="251"/>
      <c r="T101" s="251">
        <v>8.52</v>
      </c>
      <c r="U101" s="251">
        <v>8.52</v>
      </c>
      <c r="V101" s="251">
        <v>8.52</v>
      </c>
      <c r="W101" s="251"/>
      <c r="X101" s="251"/>
      <c r="Y101" s="251"/>
      <c r="Z101" s="251"/>
      <c r="AA101" s="251">
        <v>8.52</v>
      </c>
      <c r="AB101" s="251">
        <v>5.52</v>
      </c>
      <c r="AC101" s="251">
        <v>3</v>
      </c>
      <c r="AD101" s="251"/>
      <c r="AE101" s="251"/>
      <c r="AF101" s="251"/>
      <c r="AG101" s="251"/>
      <c r="AH101" s="251"/>
      <c r="AI101" s="90"/>
      <c r="AJ101" s="60" t="s">
        <v>1643</v>
      </c>
      <c r="AK101" s="58" t="s">
        <v>1586</v>
      </c>
      <c r="AL101" s="59" t="s">
        <v>2384</v>
      </c>
      <c r="AM101" s="59" t="s">
        <v>375</v>
      </c>
      <c r="AN101" s="91"/>
      <c r="AO101" s="157"/>
      <c r="AP101" s="158" t="s">
        <v>2042</v>
      </c>
      <c r="AQ101" s="158" t="s">
        <v>2017</v>
      </c>
      <c r="AR101" s="158" t="str">
        <f t="shared" ref="AR101:AR104" si="170">AQ101&amp;AP101</f>
        <v>城市基础设施供电工程</v>
      </c>
      <c r="AS101" s="158" t="s">
        <v>2018</v>
      </c>
      <c r="AT101" s="158"/>
      <c r="AU101" s="157"/>
      <c r="AV101" s="159"/>
      <c r="AW101" s="160"/>
      <c r="AX101" s="157"/>
      <c r="AY101" s="157"/>
      <c r="AZ101" s="157"/>
      <c r="BA101" s="157"/>
      <c r="BB101" s="157"/>
      <c r="BC101" s="157"/>
      <c r="BD101" s="157"/>
      <c r="BE101" s="157"/>
      <c r="BF101" s="157" t="s">
        <v>92</v>
      </c>
      <c r="BG101" s="203" t="s">
        <v>1980</v>
      </c>
      <c r="BH101" s="201" t="str">
        <f t="shared" ref="BH101:BH104" si="171">BF101&amp;AM101</f>
        <v>企业钦北区人民政府</v>
      </c>
      <c r="BI101" s="201" t="str">
        <f t="shared" ref="BI101:BI104" si="172">BG101&amp;AM101</f>
        <v>基础设施钦北区人民政府</v>
      </c>
      <c r="BJ101" s="204">
        <f t="shared" si="165"/>
        <v>0</v>
      </c>
      <c r="BK101" s="157" t="str">
        <f t="shared" si="166"/>
        <v>城市基础设施供电工程1000</v>
      </c>
      <c r="BL101" s="157" t="str">
        <f t="shared" si="167"/>
        <v>城市基础设施供电工程2000</v>
      </c>
      <c r="BM101" s="157" t="str">
        <f t="shared" si="168"/>
        <v/>
      </c>
      <c r="BN101" s="157"/>
      <c r="BO101" s="157">
        <f t="shared" ref="BO101:BO104" si="173">IF(R101&gt;0,1,0)</f>
        <v>1</v>
      </c>
      <c r="BP101" s="157">
        <f t="shared" ref="BP101:BP104" si="174">IF(X101&gt;0,1,0)</f>
        <v>0</v>
      </c>
      <c r="BQ101" s="157">
        <f t="shared" ref="BQ101:BQ104" si="175">IF(U101&gt;0,1,0)</f>
        <v>1</v>
      </c>
      <c r="BR101" s="157">
        <f t="shared" ref="BR101:BR104" si="176">IF(AA101&gt;0,1,0)</f>
        <v>1</v>
      </c>
      <c r="BS101" s="157">
        <f t="shared" ref="BS101:BS104" si="177">IF(AD101&gt;0,1,0)</f>
        <v>0</v>
      </c>
      <c r="BT101" s="157"/>
      <c r="BU101" s="206"/>
      <c r="CB101" s="4"/>
      <c r="CC101" s="4"/>
      <c r="CD101" s="4"/>
      <c r="CE101" s="4"/>
      <c r="CF101" s="4"/>
      <c r="CG101" s="4"/>
    </row>
    <row r="102" ht="57" customHeight="1" spans="1:85">
      <c r="A102" s="23">
        <f>SUBTOTAL(3,C$7:C102)</f>
        <v>75</v>
      </c>
      <c r="B102" s="60" t="s">
        <v>1612</v>
      </c>
      <c r="C102" s="59" t="s">
        <v>562</v>
      </c>
      <c r="D102" s="60" t="s">
        <v>1613</v>
      </c>
      <c r="E102" s="59" t="s">
        <v>564</v>
      </c>
      <c r="F102" s="59">
        <v>6280</v>
      </c>
      <c r="G102" s="59">
        <v>1006</v>
      </c>
      <c r="H102" s="595" t="s">
        <v>1589</v>
      </c>
      <c r="I102" s="76">
        <v>540</v>
      </c>
      <c r="J102" s="76">
        <v>1350</v>
      </c>
      <c r="K102" s="76">
        <v>2100</v>
      </c>
      <c r="L102" s="59">
        <v>2500</v>
      </c>
      <c r="M102" s="59"/>
      <c r="N102" s="111"/>
      <c r="O102" s="67"/>
      <c r="P102" s="259" t="s">
        <v>2383</v>
      </c>
      <c r="Q102" s="90" t="s">
        <v>2385</v>
      </c>
      <c r="R102" s="132">
        <v>11.53</v>
      </c>
      <c r="S102" s="132"/>
      <c r="T102" s="132">
        <v>11.53</v>
      </c>
      <c r="U102" s="132">
        <v>11.53</v>
      </c>
      <c r="V102" s="132">
        <v>11.53</v>
      </c>
      <c r="W102" s="132"/>
      <c r="X102" s="132"/>
      <c r="Y102" s="132"/>
      <c r="Z102" s="132"/>
      <c r="AA102" s="132">
        <v>11.53</v>
      </c>
      <c r="AB102" s="132">
        <v>11.53</v>
      </c>
      <c r="AC102" s="132"/>
      <c r="AD102" s="132"/>
      <c r="AE102" s="132"/>
      <c r="AF102" s="132"/>
      <c r="AG102" s="132"/>
      <c r="AH102" s="132"/>
      <c r="AI102" s="90"/>
      <c r="AJ102" s="90" t="s">
        <v>1614</v>
      </c>
      <c r="AK102" s="58" t="s">
        <v>1586</v>
      </c>
      <c r="AL102" s="59" t="s">
        <v>2386</v>
      </c>
      <c r="AM102" s="59" t="s">
        <v>317</v>
      </c>
      <c r="AN102" s="91"/>
      <c r="AO102" s="157"/>
      <c r="AP102" s="158" t="s">
        <v>2042</v>
      </c>
      <c r="AQ102" s="158" t="s">
        <v>2017</v>
      </c>
      <c r="AR102" s="158" t="str">
        <f t="shared" si="170"/>
        <v>城市基础设施供电工程</v>
      </c>
      <c r="AS102" s="158" t="s">
        <v>2018</v>
      </c>
      <c r="AT102" s="158"/>
      <c r="AU102" s="157"/>
      <c r="AV102" s="159"/>
      <c r="AW102" s="160"/>
      <c r="AX102" s="157"/>
      <c r="AY102" s="157"/>
      <c r="AZ102" s="157"/>
      <c r="BA102" s="157"/>
      <c r="BB102" s="157"/>
      <c r="BC102" s="157"/>
      <c r="BD102" s="157"/>
      <c r="BE102" s="157"/>
      <c r="BF102" s="157" t="s">
        <v>92</v>
      </c>
      <c r="BG102" s="203" t="s">
        <v>1980</v>
      </c>
      <c r="BH102" s="201" t="str">
        <f t="shared" si="171"/>
        <v>企业浦北县人民政府</v>
      </c>
      <c r="BI102" s="201" t="str">
        <f t="shared" si="172"/>
        <v>基础设施浦北县人民政府</v>
      </c>
      <c r="BJ102" s="204">
        <f t="shared" si="165"/>
        <v>0</v>
      </c>
      <c r="BK102" s="157" t="str">
        <f t="shared" si="166"/>
        <v>城市基础设施供电工程1000</v>
      </c>
      <c r="BL102" s="157" t="str">
        <f t="shared" si="167"/>
        <v>城市基础设施供电工程2000</v>
      </c>
      <c r="BM102" s="157" t="str">
        <f t="shared" si="168"/>
        <v/>
      </c>
      <c r="BN102" s="157"/>
      <c r="BO102" s="157">
        <f t="shared" si="173"/>
        <v>1</v>
      </c>
      <c r="BP102" s="157">
        <f t="shared" si="174"/>
        <v>0</v>
      </c>
      <c r="BQ102" s="157">
        <f t="shared" si="175"/>
        <v>1</v>
      </c>
      <c r="BR102" s="157">
        <f t="shared" si="176"/>
        <v>1</v>
      </c>
      <c r="BS102" s="157">
        <f t="shared" si="177"/>
        <v>0</v>
      </c>
      <c r="BT102" s="157"/>
      <c r="BU102" s="206"/>
      <c r="CB102" s="4"/>
      <c r="CC102" s="4"/>
      <c r="CD102" s="4"/>
      <c r="CE102" s="4"/>
      <c r="CF102" s="4"/>
      <c r="CG102" s="4"/>
    </row>
    <row r="103" s="9" customFormat="1" ht="30" customHeight="1" spans="1:72">
      <c r="A103" s="551"/>
      <c r="B103" s="557" t="str">
        <f>"其他（"&amp;SUBTOTAL(3,C104:C113)&amp;"个）"</f>
        <v>其他（10个）</v>
      </c>
      <c r="C103" s="551"/>
      <c r="D103" s="554"/>
      <c r="E103" s="551"/>
      <c r="F103" s="134">
        <f>SUBTOTAL(9,F104:F113)</f>
        <v>443314.03</v>
      </c>
      <c r="G103" s="134">
        <f>SUBTOTAL(9,G104:G113)</f>
        <v>137888</v>
      </c>
      <c r="H103" s="134"/>
      <c r="I103" s="134">
        <f t="shared" ref="I103:AI103" si="178">SUBTOTAL(9,I104:I113)</f>
        <v>5780</v>
      </c>
      <c r="J103" s="134">
        <f t="shared" si="178"/>
        <v>17370</v>
      </c>
      <c r="K103" s="134">
        <f t="shared" si="178"/>
        <v>32700</v>
      </c>
      <c r="L103" s="134">
        <f t="shared" si="178"/>
        <v>46580</v>
      </c>
      <c r="M103" s="134">
        <f t="shared" si="178"/>
        <v>0</v>
      </c>
      <c r="N103" s="134">
        <f t="shared" si="178"/>
        <v>0</v>
      </c>
      <c r="O103" s="134">
        <f t="shared" si="178"/>
        <v>0</v>
      </c>
      <c r="P103" s="134">
        <f t="shared" si="178"/>
        <v>0</v>
      </c>
      <c r="Q103" s="134">
        <f t="shared" si="178"/>
        <v>0</v>
      </c>
      <c r="R103" s="134">
        <f t="shared" si="178"/>
        <v>2530.0642</v>
      </c>
      <c r="S103" s="134">
        <f t="shared" si="178"/>
        <v>345</v>
      </c>
      <c r="T103" s="134">
        <f t="shared" si="178"/>
        <v>2185.0457</v>
      </c>
      <c r="U103" s="134">
        <f t="shared" si="178"/>
        <v>67.442</v>
      </c>
      <c r="V103" s="134">
        <f t="shared" si="178"/>
        <v>17.442</v>
      </c>
      <c r="W103" s="134">
        <f t="shared" si="178"/>
        <v>0</v>
      </c>
      <c r="X103" s="134">
        <f t="shared" si="178"/>
        <v>0</v>
      </c>
      <c r="Y103" s="134">
        <f t="shared" si="178"/>
        <v>0</v>
      </c>
      <c r="Z103" s="134">
        <f t="shared" si="178"/>
        <v>0</v>
      </c>
      <c r="AA103" s="134">
        <f t="shared" si="178"/>
        <v>380</v>
      </c>
      <c r="AB103" s="134">
        <f t="shared" si="178"/>
        <v>269</v>
      </c>
      <c r="AC103" s="134">
        <f t="shared" si="178"/>
        <v>111</v>
      </c>
      <c r="AD103" s="134">
        <f t="shared" si="178"/>
        <v>30700</v>
      </c>
      <c r="AE103" s="134"/>
      <c r="AF103" s="134">
        <f t="shared" si="178"/>
        <v>7694</v>
      </c>
      <c r="AG103" s="134"/>
      <c r="AH103" s="134">
        <f t="shared" si="178"/>
        <v>23006</v>
      </c>
      <c r="AI103" s="134">
        <f t="shared" si="178"/>
        <v>0</v>
      </c>
      <c r="AJ103" s="90"/>
      <c r="AK103" s="591"/>
      <c r="AL103" s="134"/>
      <c r="AM103" s="134"/>
      <c r="AN103" s="91"/>
      <c r="AO103" s="165"/>
      <c r="AP103" s="158"/>
      <c r="AQ103" s="158"/>
      <c r="AR103" s="158"/>
      <c r="AS103" s="158"/>
      <c r="AT103" s="158"/>
      <c r="AU103" s="165"/>
      <c r="AV103" s="169"/>
      <c r="AW103" s="165"/>
      <c r="AX103" s="165"/>
      <c r="AY103" s="165"/>
      <c r="AZ103" s="165"/>
      <c r="BA103" s="165"/>
      <c r="BB103" s="169"/>
      <c r="BC103" s="169"/>
      <c r="BD103" s="169"/>
      <c r="BE103" s="165"/>
      <c r="BF103" s="201"/>
      <c r="BG103" s="685"/>
      <c r="BK103" s="201"/>
      <c r="BL103" s="201"/>
      <c r="BM103" s="201"/>
      <c r="BN103" s="201"/>
      <c r="BO103" s="201"/>
      <c r="BP103" s="201"/>
      <c r="BQ103" s="201"/>
      <c r="BR103" s="201"/>
      <c r="BS103" s="201"/>
      <c r="BT103" s="181"/>
    </row>
    <row r="104" ht="110.25" customHeight="1" spans="1:85">
      <c r="A104" s="23">
        <f>SUBTOTAL(3,C$7:C104)</f>
        <v>76</v>
      </c>
      <c r="B104" s="55" t="s">
        <v>974</v>
      </c>
      <c r="C104" s="35" t="s">
        <v>562</v>
      </c>
      <c r="D104" s="55" t="s">
        <v>975</v>
      </c>
      <c r="E104" s="35" t="s">
        <v>976</v>
      </c>
      <c r="F104" s="67">
        <v>85065</v>
      </c>
      <c r="G104" s="38">
        <v>61262</v>
      </c>
      <c r="H104" s="123" t="s">
        <v>977</v>
      </c>
      <c r="I104" s="67">
        <v>330</v>
      </c>
      <c r="J104" s="67">
        <v>620</v>
      </c>
      <c r="K104" s="67">
        <f>500+1000+500</f>
        <v>2000</v>
      </c>
      <c r="L104" s="38">
        <v>6500</v>
      </c>
      <c r="M104" s="38"/>
      <c r="N104" s="111"/>
      <c r="O104" s="67"/>
      <c r="P104" s="90" t="s">
        <v>2387</v>
      </c>
      <c r="Q104" s="90" t="s">
        <v>2388</v>
      </c>
      <c r="R104" s="132">
        <v>80</v>
      </c>
      <c r="S104" s="132">
        <v>72</v>
      </c>
      <c r="T104" s="132">
        <v>8</v>
      </c>
      <c r="U104" s="132">
        <v>25</v>
      </c>
      <c r="V104" s="132"/>
      <c r="W104" s="132"/>
      <c r="X104" s="132"/>
      <c r="Y104" s="132"/>
      <c r="Z104" s="132"/>
      <c r="AA104" s="132">
        <v>80</v>
      </c>
      <c r="AB104" s="132">
        <v>72</v>
      </c>
      <c r="AC104" s="132">
        <v>8</v>
      </c>
      <c r="AD104" s="132">
        <v>6500</v>
      </c>
      <c r="AE104" s="132"/>
      <c r="AF104" s="132"/>
      <c r="AG104" s="132"/>
      <c r="AH104" s="132">
        <v>6500</v>
      </c>
      <c r="AI104" s="90"/>
      <c r="AJ104" s="90" t="s">
        <v>978</v>
      </c>
      <c r="AK104" s="123" t="s">
        <v>455</v>
      </c>
      <c r="AL104" s="67" t="s">
        <v>2389</v>
      </c>
      <c r="AM104" s="67" t="s">
        <v>979</v>
      </c>
      <c r="AN104" s="91" t="s">
        <v>2390</v>
      </c>
      <c r="AO104" s="157"/>
      <c r="AP104" s="158" t="s">
        <v>2051</v>
      </c>
      <c r="AQ104" s="158" t="s">
        <v>2017</v>
      </c>
      <c r="AR104" s="158" t="str">
        <f t="shared" si="170"/>
        <v>城市基础设施其他</v>
      </c>
      <c r="AS104" s="158" t="s">
        <v>2018</v>
      </c>
      <c r="AT104" s="158"/>
      <c r="AU104" s="157"/>
      <c r="AV104" s="272"/>
      <c r="AW104" s="160"/>
      <c r="AX104" s="157"/>
      <c r="AY104" s="157"/>
      <c r="AZ104" s="157"/>
      <c r="BA104" s="157"/>
      <c r="BB104" s="157"/>
      <c r="BC104" s="157"/>
      <c r="BD104" s="157"/>
      <c r="BE104" s="157"/>
      <c r="BF104" s="201" t="s">
        <v>205</v>
      </c>
      <c r="BG104" s="203" t="s">
        <v>1980</v>
      </c>
      <c r="BH104" s="201" t="str">
        <f t="shared" si="171"/>
        <v>政府市住房城乡建设局</v>
      </c>
      <c r="BI104" s="201" t="str">
        <f t="shared" si="172"/>
        <v>基础设施市住房城乡建设局</v>
      </c>
      <c r="BJ104" s="204">
        <f t="shared" ref="BJ104:BJ113" si="179">IF(N104&gt;0,1,0)</f>
        <v>0</v>
      </c>
      <c r="BK104" s="157" t="str">
        <f t="shared" ref="BK104:BK113" si="180">IF(L104&lt;1000,"",AR104&amp;"1000")</f>
        <v>城市基础设施其他1000</v>
      </c>
      <c r="BL104" s="157" t="str">
        <f t="shared" ref="BL104:BL113" si="181">IF(L104&lt;2000,"",AR104&amp;"2000")</f>
        <v>城市基础设施其他2000</v>
      </c>
      <c r="BM104" s="157" t="str">
        <f t="shared" ref="BM104:BM113" si="182">IF(L104&lt;5000,"",AR104&amp;"5000")</f>
        <v>城市基础设施其他5000</v>
      </c>
      <c r="BN104" s="157"/>
      <c r="BO104" s="157">
        <f t="shared" si="173"/>
        <v>1</v>
      </c>
      <c r="BP104" s="157">
        <f t="shared" si="174"/>
        <v>0</v>
      </c>
      <c r="BQ104" s="157">
        <f t="shared" si="175"/>
        <v>1</v>
      </c>
      <c r="BR104" s="157">
        <f t="shared" si="176"/>
        <v>1</v>
      </c>
      <c r="BS104" s="157">
        <f t="shared" si="177"/>
        <v>1</v>
      </c>
      <c r="BT104" s="181"/>
      <c r="BU104" s="206"/>
      <c r="BW104" s="7"/>
      <c r="BX104" s="7"/>
      <c r="BY104" s="7"/>
      <c r="BZ104" s="7"/>
      <c r="CA104" s="7"/>
      <c r="CB104" s="4"/>
      <c r="CC104" s="4"/>
      <c r="CD104" s="4"/>
      <c r="CE104" s="4"/>
      <c r="CF104" s="4"/>
      <c r="CG104" s="4"/>
    </row>
    <row r="105" ht="87.75" customHeight="1" spans="1:85">
      <c r="A105" s="23">
        <f>SUBTOTAL(3,C$7:C105)</f>
        <v>77</v>
      </c>
      <c r="B105" s="55" t="s">
        <v>1263</v>
      </c>
      <c r="C105" s="67" t="s">
        <v>562</v>
      </c>
      <c r="D105" s="54" t="s">
        <v>1264</v>
      </c>
      <c r="E105" s="67" t="s">
        <v>575</v>
      </c>
      <c r="F105" s="67">
        <v>2556.03</v>
      </c>
      <c r="G105" s="67">
        <v>572</v>
      </c>
      <c r="H105" s="123" t="s">
        <v>1265</v>
      </c>
      <c r="I105" s="67">
        <v>200</v>
      </c>
      <c r="J105" s="67">
        <v>400</v>
      </c>
      <c r="K105" s="67">
        <v>1100</v>
      </c>
      <c r="L105" s="67">
        <v>1400</v>
      </c>
      <c r="M105" s="67"/>
      <c r="N105" s="111"/>
      <c r="O105" s="67"/>
      <c r="P105" s="90" t="s">
        <v>2387</v>
      </c>
      <c r="Q105" s="90"/>
      <c r="R105" s="132">
        <v>80</v>
      </c>
      <c r="S105" s="132">
        <v>72</v>
      </c>
      <c r="T105" s="132">
        <v>8</v>
      </c>
      <c r="U105" s="132">
        <v>25</v>
      </c>
      <c r="V105" s="132"/>
      <c r="W105" s="132"/>
      <c r="X105" s="132"/>
      <c r="Y105" s="132"/>
      <c r="Z105" s="132"/>
      <c r="AA105" s="132">
        <v>80</v>
      </c>
      <c r="AB105" s="132">
        <v>72</v>
      </c>
      <c r="AC105" s="132">
        <v>8</v>
      </c>
      <c r="AD105" s="132">
        <v>6500</v>
      </c>
      <c r="AE105" s="132"/>
      <c r="AF105" s="132"/>
      <c r="AG105" s="132"/>
      <c r="AH105" s="132">
        <v>6500</v>
      </c>
      <c r="AI105" s="90"/>
      <c r="AJ105" s="90" t="s">
        <v>117</v>
      </c>
      <c r="AK105" s="123" t="s">
        <v>455</v>
      </c>
      <c r="AL105" s="67" t="s">
        <v>2391</v>
      </c>
      <c r="AM105" s="67" t="s">
        <v>979</v>
      </c>
      <c r="AN105" s="91"/>
      <c r="AO105" s="157"/>
      <c r="AP105" s="158" t="s">
        <v>2051</v>
      </c>
      <c r="AQ105" s="158" t="s">
        <v>2017</v>
      </c>
      <c r="AR105" s="158" t="str">
        <f t="shared" ref="AR105:AR113" si="183">AQ105&amp;AP105</f>
        <v>城市基础设施其他</v>
      </c>
      <c r="AS105" s="158" t="s">
        <v>2018</v>
      </c>
      <c r="AT105" s="158"/>
      <c r="AU105" s="157"/>
      <c r="AV105" s="272"/>
      <c r="AW105" s="160"/>
      <c r="AX105" s="157"/>
      <c r="AY105" s="157"/>
      <c r="AZ105" s="157"/>
      <c r="BA105" s="157"/>
      <c r="BB105" s="157"/>
      <c r="BC105" s="157"/>
      <c r="BD105" s="157"/>
      <c r="BE105" s="157"/>
      <c r="BF105" s="201" t="s">
        <v>205</v>
      </c>
      <c r="BG105" s="203" t="s">
        <v>1980</v>
      </c>
      <c r="BH105" s="201" t="str">
        <f t="shared" ref="BH105:BH113" si="184">BF105&amp;AM105</f>
        <v>政府市住房城乡建设局</v>
      </c>
      <c r="BI105" s="201" t="str">
        <f t="shared" ref="BI105:BI113" si="185">BG105&amp;AM105</f>
        <v>基础设施市住房城乡建设局</v>
      </c>
      <c r="BJ105" s="204">
        <f t="shared" si="179"/>
        <v>0</v>
      </c>
      <c r="BK105" s="157" t="str">
        <f t="shared" si="180"/>
        <v>城市基础设施其他1000</v>
      </c>
      <c r="BL105" s="157" t="str">
        <f t="shared" si="181"/>
        <v/>
      </c>
      <c r="BM105" s="157" t="str">
        <f t="shared" si="182"/>
        <v/>
      </c>
      <c r="BN105" s="157"/>
      <c r="BO105" s="157">
        <f t="shared" ref="BO105:BO113" si="186">IF(R105&gt;0,1,0)</f>
        <v>1</v>
      </c>
      <c r="BP105" s="157">
        <f t="shared" ref="BP105:BP113" si="187">IF(X105&gt;0,1,0)</f>
        <v>0</v>
      </c>
      <c r="BQ105" s="157">
        <f t="shared" ref="BQ105:BQ113" si="188">IF(U105&gt;0,1,0)</f>
        <v>1</v>
      </c>
      <c r="BR105" s="157">
        <f t="shared" ref="BR105:BR113" si="189">IF(AA105&gt;0,1,0)</f>
        <v>1</v>
      </c>
      <c r="BS105" s="157">
        <f t="shared" ref="BS105:BS113" si="190">IF(AD105&gt;0,1,0)</f>
        <v>1</v>
      </c>
      <c r="BT105" s="181"/>
      <c r="BU105" s="206"/>
      <c r="BW105" s="7"/>
      <c r="BX105" s="7"/>
      <c r="BY105" s="7"/>
      <c r="BZ105" s="7"/>
      <c r="CA105" s="7"/>
      <c r="CB105" s="4"/>
      <c r="CC105" s="4"/>
      <c r="CD105" s="4"/>
      <c r="CE105" s="4"/>
      <c r="CF105" s="4"/>
      <c r="CG105" s="4"/>
    </row>
    <row r="106" ht="91.5" customHeight="1" spans="1:85">
      <c r="A106" s="23">
        <f>SUBTOTAL(3,C$7:C106)</f>
        <v>78</v>
      </c>
      <c r="B106" s="55" t="s">
        <v>1269</v>
      </c>
      <c r="C106" s="35" t="s">
        <v>562</v>
      </c>
      <c r="D106" s="55" t="s">
        <v>1270</v>
      </c>
      <c r="E106" s="35" t="s">
        <v>1271</v>
      </c>
      <c r="F106" s="38">
        <v>40000</v>
      </c>
      <c r="G106" s="38">
        <v>36787</v>
      </c>
      <c r="H106" s="123" t="s">
        <v>1272</v>
      </c>
      <c r="I106" s="67">
        <v>600</v>
      </c>
      <c r="J106" s="67">
        <v>1600</v>
      </c>
      <c r="K106" s="67">
        <v>2000</v>
      </c>
      <c r="L106" s="38">
        <v>2000</v>
      </c>
      <c r="M106" s="38"/>
      <c r="N106" s="67"/>
      <c r="O106" s="707"/>
      <c r="P106" s="54" t="s">
        <v>2392</v>
      </c>
      <c r="Q106" s="90" t="s">
        <v>2393</v>
      </c>
      <c r="R106" s="132">
        <v>125</v>
      </c>
      <c r="S106" s="132">
        <v>125</v>
      </c>
      <c r="T106" s="132"/>
      <c r="U106" s="132">
        <v>10.2495</v>
      </c>
      <c r="V106" s="132">
        <v>10.2495</v>
      </c>
      <c r="W106" s="132"/>
      <c r="X106" s="132"/>
      <c r="Y106" s="132"/>
      <c r="Z106" s="132"/>
      <c r="AA106" s="132">
        <v>125</v>
      </c>
      <c r="AB106" s="132">
        <v>125</v>
      </c>
      <c r="AC106" s="132"/>
      <c r="AD106" s="132">
        <v>2000</v>
      </c>
      <c r="AE106" s="132"/>
      <c r="AF106" s="132">
        <v>1000</v>
      </c>
      <c r="AG106" s="132"/>
      <c r="AH106" s="132">
        <v>1000</v>
      </c>
      <c r="AI106" s="90"/>
      <c r="AJ106" s="90" t="s">
        <v>1273</v>
      </c>
      <c r="AK106" s="123" t="s">
        <v>455</v>
      </c>
      <c r="AL106" s="67" t="s">
        <v>2394</v>
      </c>
      <c r="AM106" s="67" t="s">
        <v>240</v>
      </c>
      <c r="AN106" s="91"/>
      <c r="AO106" s="157"/>
      <c r="AP106" s="158" t="s">
        <v>2051</v>
      </c>
      <c r="AQ106" s="158" t="s">
        <v>2017</v>
      </c>
      <c r="AR106" s="158" t="str">
        <f t="shared" si="183"/>
        <v>城市基础设施其他</v>
      </c>
      <c r="AS106" s="158" t="s">
        <v>2018</v>
      </c>
      <c r="AT106" s="158"/>
      <c r="AU106" s="157"/>
      <c r="AV106" s="159"/>
      <c r="AW106" s="160"/>
      <c r="AX106" s="157"/>
      <c r="AY106" s="157"/>
      <c r="AZ106" s="157"/>
      <c r="BA106" s="157"/>
      <c r="BB106" s="157"/>
      <c r="BC106" s="157"/>
      <c r="BD106" s="157"/>
      <c r="BE106" s="157"/>
      <c r="BF106" s="201" t="s">
        <v>205</v>
      </c>
      <c r="BG106" s="203" t="s">
        <v>1980</v>
      </c>
      <c r="BH106" s="201" t="str">
        <f t="shared" si="184"/>
        <v>政府钦州高新区管委</v>
      </c>
      <c r="BI106" s="201" t="str">
        <f t="shared" si="185"/>
        <v>基础设施钦州高新区管委</v>
      </c>
      <c r="BJ106" s="204">
        <f t="shared" si="179"/>
        <v>0</v>
      </c>
      <c r="BK106" s="157" t="str">
        <f t="shared" si="180"/>
        <v>城市基础设施其他1000</v>
      </c>
      <c r="BL106" s="157" t="str">
        <f t="shared" si="181"/>
        <v>城市基础设施其他2000</v>
      </c>
      <c r="BM106" s="157" t="str">
        <f t="shared" si="182"/>
        <v/>
      </c>
      <c r="BN106" s="157"/>
      <c r="BO106" s="157">
        <f t="shared" si="186"/>
        <v>1</v>
      </c>
      <c r="BP106" s="157">
        <f t="shared" si="187"/>
        <v>0</v>
      </c>
      <c r="BQ106" s="157">
        <f t="shared" si="188"/>
        <v>1</v>
      </c>
      <c r="BR106" s="157">
        <f t="shared" si="189"/>
        <v>1</v>
      </c>
      <c r="BS106" s="157">
        <f t="shared" si="190"/>
        <v>1</v>
      </c>
      <c r="BT106" s="181"/>
      <c r="BU106" s="206"/>
      <c r="BW106" s="204"/>
      <c r="BX106" s="227"/>
      <c r="BY106" s="204"/>
      <c r="BZ106" s="204"/>
      <c r="CA106" s="204"/>
      <c r="CB106" s="4"/>
      <c r="CC106" s="4"/>
      <c r="CD106" s="4"/>
      <c r="CE106" s="4"/>
      <c r="CF106" s="4"/>
      <c r="CG106" s="4"/>
    </row>
    <row r="107" ht="68.25" customHeight="1" spans="1:85">
      <c r="A107" s="23">
        <f>SUBTOTAL(3,C$7:C107)</f>
        <v>79</v>
      </c>
      <c r="B107" s="55" t="s">
        <v>1057</v>
      </c>
      <c r="C107" s="76" t="s">
        <v>562</v>
      </c>
      <c r="D107" s="55" t="s">
        <v>1058</v>
      </c>
      <c r="E107" s="77" t="s">
        <v>564</v>
      </c>
      <c r="F107" s="36">
        <v>16045</v>
      </c>
      <c r="G107" s="38">
        <v>3365</v>
      </c>
      <c r="H107" s="123" t="s">
        <v>1059</v>
      </c>
      <c r="I107" s="23">
        <v>200</v>
      </c>
      <c r="J107" s="67">
        <v>700</v>
      </c>
      <c r="K107" s="67">
        <v>1000</v>
      </c>
      <c r="L107" s="76">
        <v>1180</v>
      </c>
      <c r="M107" s="76"/>
      <c r="N107" s="111"/>
      <c r="O107" s="67"/>
      <c r="P107" s="90" t="s">
        <v>2395</v>
      </c>
      <c r="Q107" s="90" t="s">
        <v>117</v>
      </c>
      <c r="R107" s="132">
        <f>5.0679*15</f>
        <v>76.0185</v>
      </c>
      <c r="S107" s="132">
        <v>76</v>
      </c>
      <c r="T107" s="132"/>
      <c r="U107" s="132"/>
      <c r="V107" s="132"/>
      <c r="W107" s="132"/>
      <c r="X107" s="132"/>
      <c r="Y107" s="132"/>
      <c r="Z107" s="132"/>
      <c r="AA107" s="132"/>
      <c r="AB107" s="132"/>
      <c r="AC107" s="132"/>
      <c r="AD107" s="132">
        <v>1200</v>
      </c>
      <c r="AE107" s="132"/>
      <c r="AF107" s="132">
        <f>1000-306</f>
        <v>694</v>
      </c>
      <c r="AG107" s="132"/>
      <c r="AH107" s="132">
        <f>1200-694</f>
        <v>506</v>
      </c>
      <c r="AI107" s="90"/>
      <c r="AJ107" s="90" t="s">
        <v>117</v>
      </c>
      <c r="AK107" s="34" t="s">
        <v>1040</v>
      </c>
      <c r="AL107" s="35" t="s">
        <v>2027</v>
      </c>
      <c r="AM107" s="35" t="s">
        <v>498</v>
      </c>
      <c r="AN107" s="91"/>
      <c r="AO107" s="157"/>
      <c r="AP107" s="158" t="s">
        <v>2051</v>
      </c>
      <c r="AQ107" s="158" t="s">
        <v>2017</v>
      </c>
      <c r="AR107" s="158" t="str">
        <f t="shared" si="183"/>
        <v>城市基础设施其他</v>
      </c>
      <c r="AS107" s="158" t="s">
        <v>2018</v>
      </c>
      <c r="AT107" s="158"/>
      <c r="AU107" s="157"/>
      <c r="AV107" s="272"/>
      <c r="AW107" s="160"/>
      <c r="AX107" s="157"/>
      <c r="AY107" s="157"/>
      <c r="AZ107" s="157"/>
      <c r="BA107" s="157"/>
      <c r="BB107" s="157"/>
      <c r="BC107" s="157"/>
      <c r="BD107" s="157"/>
      <c r="BE107" s="157"/>
      <c r="BF107" s="157" t="s">
        <v>205</v>
      </c>
      <c r="BG107" s="203" t="s">
        <v>1980</v>
      </c>
      <c r="BH107" s="201" t="str">
        <f t="shared" si="184"/>
        <v>政府市滨海新城管委</v>
      </c>
      <c r="BI107" s="201" t="str">
        <f t="shared" si="185"/>
        <v>基础设施市滨海新城管委</v>
      </c>
      <c r="BJ107" s="204">
        <f t="shared" si="179"/>
        <v>0</v>
      </c>
      <c r="BK107" s="157" t="str">
        <f t="shared" si="180"/>
        <v>城市基础设施其他1000</v>
      </c>
      <c r="BL107" s="157" t="str">
        <f t="shared" si="181"/>
        <v/>
      </c>
      <c r="BM107" s="157" t="str">
        <f t="shared" si="182"/>
        <v/>
      </c>
      <c r="BN107" s="157"/>
      <c r="BO107" s="157">
        <f t="shared" si="186"/>
        <v>1</v>
      </c>
      <c r="BP107" s="157">
        <f t="shared" si="187"/>
        <v>0</v>
      </c>
      <c r="BQ107" s="157">
        <f t="shared" si="188"/>
        <v>0</v>
      </c>
      <c r="BR107" s="157">
        <f t="shared" si="189"/>
        <v>0</v>
      </c>
      <c r="BS107" s="157">
        <f t="shared" si="190"/>
        <v>1</v>
      </c>
      <c r="BT107" s="181"/>
      <c r="BU107" s="206"/>
      <c r="BX107" s="206"/>
      <c r="CB107" s="4"/>
      <c r="CC107" s="4"/>
      <c r="CD107" s="4"/>
      <c r="CE107" s="4"/>
      <c r="CF107" s="4"/>
      <c r="CG107" s="4"/>
    </row>
    <row r="108" ht="89.25" customHeight="1" spans="1:85">
      <c r="A108" s="23">
        <f>SUBTOTAL(3,C$7:C108)</f>
        <v>80</v>
      </c>
      <c r="B108" s="696" t="s">
        <v>1667</v>
      </c>
      <c r="C108" s="76" t="s">
        <v>562</v>
      </c>
      <c r="D108" s="55" t="s">
        <v>1668</v>
      </c>
      <c r="E108" s="77" t="s">
        <v>588</v>
      </c>
      <c r="F108" s="38">
        <v>17000</v>
      </c>
      <c r="G108" s="36">
        <v>2638</v>
      </c>
      <c r="H108" s="123" t="s">
        <v>1669</v>
      </c>
      <c r="I108" s="67">
        <v>1000</v>
      </c>
      <c r="J108" s="67">
        <v>2500</v>
      </c>
      <c r="K108" s="67">
        <v>4000</v>
      </c>
      <c r="L108" s="708">
        <v>4500</v>
      </c>
      <c r="M108" s="708"/>
      <c r="N108" s="111"/>
      <c r="O108" s="67"/>
      <c r="P108" s="90" t="s">
        <v>2396</v>
      </c>
      <c r="Q108" s="90" t="s">
        <v>2397</v>
      </c>
      <c r="R108" s="132"/>
      <c r="S108" s="132"/>
      <c r="T108" s="132"/>
      <c r="U108" s="132">
        <f>0.4795*15</f>
        <v>7.1925</v>
      </c>
      <c r="V108" s="132">
        <v>7.1925</v>
      </c>
      <c r="W108" s="132"/>
      <c r="X108" s="132"/>
      <c r="Y108" s="132"/>
      <c r="Z108" s="132"/>
      <c r="AA108" s="132">
        <v>55</v>
      </c>
      <c r="AB108" s="132"/>
      <c r="AC108" s="132">
        <v>55</v>
      </c>
      <c r="AD108" s="132">
        <v>4500</v>
      </c>
      <c r="AE108" s="132"/>
      <c r="AF108" s="132"/>
      <c r="AG108" s="132"/>
      <c r="AH108" s="132">
        <v>4500</v>
      </c>
      <c r="AI108" s="90"/>
      <c r="AJ108" s="90" t="s">
        <v>1670</v>
      </c>
      <c r="AK108" s="34" t="s">
        <v>1040</v>
      </c>
      <c r="AL108" s="35" t="s">
        <v>2027</v>
      </c>
      <c r="AM108" s="35" t="s">
        <v>498</v>
      </c>
      <c r="AN108" s="34"/>
      <c r="AO108" s="157"/>
      <c r="AP108" s="158" t="s">
        <v>2051</v>
      </c>
      <c r="AQ108" s="158" t="s">
        <v>2017</v>
      </c>
      <c r="AR108" s="158" t="str">
        <f t="shared" si="183"/>
        <v>城市基础设施其他</v>
      </c>
      <c r="AS108" s="158" t="s">
        <v>2018</v>
      </c>
      <c r="AT108" s="158"/>
      <c r="AU108" s="161"/>
      <c r="AV108" s="161"/>
      <c r="AW108" s="160"/>
      <c r="AX108" s="157"/>
      <c r="AY108" s="157"/>
      <c r="AZ108" s="157"/>
      <c r="BA108" s="157"/>
      <c r="BB108" s="157"/>
      <c r="BC108" s="157"/>
      <c r="BD108" s="157"/>
      <c r="BE108" s="157"/>
      <c r="BF108" s="202" t="s">
        <v>92</v>
      </c>
      <c r="BG108" s="203" t="s">
        <v>1980</v>
      </c>
      <c r="BH108" s="201" t="str">
        <f t="shared" si="184"/>
        <v>企业市滨海新城管委</v>
      </c>
      <c r="BI108" s="201" t="str">
        <f t="shared" si="185"/>
        <v>基础设施市滨海新城管委</v>
      </c>
      <c r="BJ108" s="204">
        <f t="shared" si="179"/>
        <v>0</v>
      </c>
      <c r="BK108" s="157" t="str">
        <f t="shared" si="180"/>
        <v>城市基础设施其他1000</v>
      </c>
      <c r="BL108" s="157" t="str">
        <f t="shared" si="181"/>
        <v>城市基础设施其他2000</v>
      </c>
      <c r="BM108" s="157" t="str">
        <f t="shared" si="182"/>
        <v/>
      </c>
      <c r="BN108" s="157"/>
      <c r="BO108" s="157">
        <f t="shared" si="186"/>
        <v>0</v>
      </c>
      <c r="BP108" s="157">
        <f t="shared" si="187"/>
        <v>0</v>
      </c>
      <c r="BQ108" s="157">
        <f t="shared" si="188"/>
        <v>1</v>
      </c>
      <c r="BR108" s="157">
        <f t="shared" si="189"/>
        <v>1</v>
      </c>
      <c r="BS108" s="157">
        <f t="shared" si="190"/>
        <v>1</v>
      </c>
      <c r="BT108" s="181"/>
      <c r="BU108" s="206"/>
      <c r="BW108" s="7"/>
      <c r="BX108" s="7"/>
      <c r="BY108" s="7"/>
      <c r="BZ108" s="7"/>
      <c r="CA108" s="7"/>
      <c r="CB108" s="4"/>
      <c r="CC108" s="4"/>
      <c r="CD108" s="4"/>
      <c r="CE108" s="4"/>
      <c r="CF108" s="4"/>
      <c r="CG108" s="4"/>
    </row>
    <row r="109" ht="79.5" customHeight="1" spans="1:85">
      <c r="A109" s="23">
        <f>SUBTOTAL(3,C$7:C109)</f>
        <v>81</v>
      </c>
      <c r="B109" s="55" t="s">
        <v>1671</v>
      </c>
      <c r="C109" s="76" t="s">
        <v>562</v>
      </c>
      <c r="D109" s="55" t="s">
        <v>1672</v>
      </c>
      <c r="E109" s="693" t="s">
        <v>575</v>
      </c>
      <c r="F109" s="38">
        <v>13184</v>
      </c>
      <c r="G109" s="38">
        <v>414</v>
      </c>
      <c r="H109" s="123" t="s">
        <v>2398</v>
      </c>
      <c r="I109" s="198">
        <v>500</v>
      </c>
      <c r="J109" s="67">
        <v>2000</v>
      </c>
      <c r="K109" s="67">
        <v>3500</v>
      </c>
      <c r="L109" s="36">
        <v>4000</v>
      </c>
      <c r="M109" s="36"/>
      <c r="N109" s="111"/>
      <c r="O109" s="67"/>
      <c r="P109" s="90" t="s">
        <v>2399</v>
      </c>
      <c r="Q109" s="90" t="s">
        <v>2400</v>
      </c>
      <c r="R109" s="132"/>
      <c r="S109" s="132"/>
      <c r="T109" s="132"/>
      <c r="U109" s="132"/>
      <c r="V109" s="132"/>
      <c r="W109" s="132"/>
      <c r="X109" s="132"/>
      <c r="Y109" s="132"/>
      <c r="Z109" s="132"/>
      <c r="AA109" s="132">
        <v>40</v>
      </c>
      <c r="AB109" s="132"/>
      <c r="AC109" s="132">
        <v>40</v>
      </c>
      <c r="AD109" s="132">
        <v>4000</v>
      </c>
      <c r="AE109" s="132"/>
      <c r="AF109" s="132"/>
      <c r="AG109" s="132"/>
      <c r="AH109" s="132">
        <v>4000</v>
      </c>
      <c r="AI109" s="90"/>
      <c r="AJ109" s="90" t="s">
        <v>1674</v>
      </c>
      <c r="AK109" s="34" t="s">
        <v>1040</v>
      </c>
      <c r="AL109" s="35" t="s">
        <v>2027</v>
      </c>
      <c r="AM109" s="35" t="s">
        <v>498</v>
      </c>
      <c r="AN109" s="34"/>
      <c r="AO109" s="157"/>
      <c r="AP109" s="158" t="s">
        <v>2051</v>
      </c>
      <c r="AQ109" s="158" t="s">
        <v>2017</v>
      </c>
      <c r="AR109" s="158" t="str">
        <f t="shared" si="183"/>
        <v>城市基础设施其他</v>
      </c>
      <c r="AS109" s="158" t="s">
        <v>2018</v>
      </c>
      <c r="AT109" s="158"/>
      <c r="AU109" s="161"/>
      <c r="AV109" s="161"/>
      <c r="AW109" s="160"/>
      <c r="AX109" s="157"/>
      <c r="AY109" s="157"/>
      <c r="AZ109" s="157"/>
      <c r="BA109" s="157"/>
      <c r="BB109" s="157"/>
      <c r="BC109" s="157"/>
      <c r="BD109" s="157"/>
      <c r="BE109" s="157"/>
      <c r="BF109" s="202" t="s">
        <v>92</v>
      </c>
      <c r="BG109" s="203" t="s">
        <v>1980</v>
      </c>
      <c r="BH109" s="201" t="str">
        <f t="shared" si="184"/>
        <v>企业市滨海新城管委</v>
      </c>
      <c r="BI109" s="201" t="str">
        <f t="shared" si="185"/>
        <v>基础设施市滨海新城管委</v>
      </c>
      <c r="BJ109" s="204">
        <f t="shared" si="179"/>
        <v>0</v>
      </c>
      <c r="BK109" s="157" t="str">
        <f t="shared" si="180"/>
        <v>城市基础设施其他1000</v>
      </c>
      <c r="BL109" s="157" t="str">
        <f t="shared" si="181"/>
        <v>城市基础设施其他2000</v>
      </c>
      <c r="BM109" s="157" t="str">
        <f t="shared" si="182"/>
        <v/>
      </c>
      <c r="BN109" s="157"/>
      <c r="BO109" s="157">
        <f t="shared" si="186"/>
        <v>0</v>
      </c>
      <c r="BP109" s="157">
        <f t="shared" si="187"/>
        <v>0</v>
      </c>
      <c r="BQ109" s="157">
        <f t="shared" si="188"/>
        <v>0</v>
      </c>
      <c r="BR109" s="157">
        <f t="shared" si="189"/>
        <v>1</v>
      </c>
      <c r="BS109" s="157">
        <f t="shared" si="190"/>
        <v>1</v>
      </c>
      <c r="BT109" s="181"/>
      <c r="BU109" s="206"/>
      <c r="BW109" s="7"/>
      <c r="BX109" s="7"/>
      <c r="BY109" s="7"/>
      <c r="BZ109" s="7"/>
      <c r="CA109" s="7"/>
      <c r="CB109" s="4"/>
      <c r="CC109" s="4"/>
      <c r="CD109" s="4"/>
      <c r="CE109" s="4"/>
      <c r="CF109" s="4"/>
      <c r="CG109" s="4"/>
    </row>
    <row r="110" ht="69.75" customHeight="1" spans="1:85">
      <c r="A110" s="23">
        <f>SUBTOTAL(3,C$7:C110)</f>
        <v>82</v>
      </c>
      <c r="B110" s="55" t="s">
        <v>1376</v>
      </c>
      <c r="C110" s="156" t="s">
        <v>562</v>
      </c>
      <c r="D110" s="55" t="s">
        <v>1377</v>
      </c>
      <c r="E110" s="693" t="s">
        <v>575</v>
      </c>
      <c r="F110" s="156">
        <v>42950</v>
      </c>
      <c r="G110" s="156">
        <v>1040</v>
      </c>
      <c r="H110" s="34" t="s">
        <v>1378</v>
      </c>
      <c r="I110" s="35">
        <v>600</v>
      </c>
      <c r="J110" s="35">
        <v>1200</v>
      </c>
      <c r="K110" s="35">
        <v>2000</v>
      </c>
      <c r="L110" s="156">
        <v>3000</v>
      </c>
      <c r="M110" s="156"/>
      <c r="N110" s="111"/>
      <c r="O110" s="67"/>
      <c r="P110" s="55"/>
      <c r="Q110" s="90"/>
      <c r="R110" s="132"/>
      <c r="S110" s="132"/>
      <c r="T110" s="132"/>
      <c r="U110" s="132"/>
      <c r="V110" s="132"/>
      <c r="W110" s="132"/>
      <c r="X110" s="132"/>
      <c r="Y110" s="132"/>
      <c r="Z110" s="132"/>
      <c r="AA110" s="132"/>
      <c r="AB110" s="132"/>
      <c r="AC110" s="132"/>
      <c r="AD110" s="132"/>
      <c r="AE110" s="132"/>
      <c r="AF110" s="132"/>
      <c r="AG110" s="132"/>
      <c r="AH110" s="132"/>
      <c r="AI110" s="90"/>
      <c r="AJ110" s="112" t="s">
        <v>1379</v>
      </c>
      <c r="AK110" s="34" t="s">
        <v>807</v>
      </c>
      <c r="AL110" s="35" t="s">
        <v>2058</v>
      </c>
      <c r="AM110" s="35" t="s">
        <v>375</v>
      </c>
      <c r="AN110" s="91"/>
      <c r="AO110" s="157"/>
      <c r="AP110" s="161" t="s">
        <v>2051</v>
      </c>
      <c r="AQ110" s="158" t="s">
        <v>2017</v>
      </c>
      <c r="AR110" s="158" t="str">
        <f t="shared" si="183"/>
        <v>城市基础设施其他</v>
      </c>
      <c r="AS110" s="158" t="s">
        <v>2018</v>
      </c>
      <c r="AT110" s="158"/>
      <c r="AU110" s="161"/>
      <c r="AV110" s="161"/>
      <c r="AW110" s="160"/>
      <c r="AX110" s="157"/>
      <c r="AY110" s="157"/>
      <c r="AZ110" s="157"/>
      <c r="BA110" s="157"/>
      <c r="BB110" s="157"/>
      <c r="BC110" s="157"/>
      <c r="BD110" s="157"/>
      <c r="BE110" s="157"/>
      <c r="BF110" s="157" t="s">
        <v>205</v>
      </c>
      <c r="BG110" s="203" t="s">
        <v>1980</v>
      </c>
      <c r="BH110" s="201" t="str">
        <f t="shared" si="184"/>
        <v>政府钦北区人民政府</v>
      </c>
      <c r="BI110" s="201" t="str">
        <f t="shared" si="185"/>
        <v>基础设施钦北区人民政府</v>
      </c>
      <c r="BJ110" s="204">
        <f t="shared" si="179"/>
        <v>0</v>
      </c>
      <c r="BK110" s="157" t="str">
        <f t="shared" si="180"/>
        <v>城市基础设施其他1000</v>
      </c>
      <c r="BL110" s="157" t="str">
        <f t="shared" si="181"/>
        <v>城市基础设施其他2000</v>
      </c>
      <c r="BM110" s="157" t="str">
        <f t="shared" si="182"/>
        <v/>
      </c>
      <c r="BN110" s="157"/>
      <c r="BO110" s="157">
        <f t="shared" si="186"/>
        <v>0</v>
      </c>
      <c r="BP110" s="157">
        <f t="shared" si="187"/>
        <v>0</v>
      </c>
      <c r="BQ110" s="157">
        <f t="shared" si="188"/>
        <v>0</v>
      </c>
      <c r="BR110" s="157">
        <f t="shared" si="189"/>
        <v>0</v>
      </c>
      <c r="BS110" s="157">
        <f t="shared" si="190"/>
        <v>0</v>
      </c>
      <c r="BT110" s="181"/>
      <c r="BU110" s="206"/>
      <c r="CB110" s="4"/>
      <c r="CC110" s="4"/>
      <c r="CD110" s="4"/>
      <c r="CE110" s="4"/>
      <c r="CF110" s="4"/>
      <c r="CG110" s="4"/>
    </row>
    <row r="111" ht="81.75" customHeight="1" spans="1:85">
      <c r="A111" s="23">
        <f>SUBTOTAL(3,C$7:C111)</f>
        <v>83</v>
      </c>
      <c r="B111" s="55" t="s">
        <v>1348</v>
      </c>
      <c r="C111" s="35" t="s">
        <v>562</v>
      </c>
      <c r="D111" s="232" t="s">
        <v>1349</v>
      </c>
      <c r="E111" s="35" t="s">
        <v>604</v>
      </c>
      <c r="F111" s="35">
        <v>180642</v>
      </c>
      <c r="G111" s="35">
        <v>22850</v>
      </c>
      <c r="H111" s="123" t="s">
        <v>1350</v>
      </c>
      <c r="I111" s="67">
        <v>2000</v>
      </c>
      <c r="J111" s="67">
        <v>7000</v>
      </c>
      <c r="K111" s="67">
        <v>14000</v>
      </c>
      <c r="L111" s="35">
        <v>20000</v>
      </c>
      <c r="M111" s="35"/>
      <c r="N111" s="50"/>
      <c r="O111" s="134"/>
      <c r="P111" s="55" t="s">
        <v>2401</v>
      </c>
      <c r="Q111" s="90" t="s">
        <v>2402</v>
      </c>
      <c r="R111" s="132">
        <v>2169.0457</v>
      </c>
      <c r="S111" s="132"/>
      <c r="T111" s="132">
        <v>2169.0457</v>
      </c>
      <c r="U111" s="132"/>
      <c r="V111" s="132"/>
      <c r="W111" s="132"/>
      <c r="X111" s="132"/>
      <c r="Y111" s="132"/>
      <c r="Z111" s="132"/>
      <c r="AA111" s="132"/>
      <c r="AB111" s="132"/>
      <c r="AC111" s="132"/>
      <c r="AD111" s="132">
        <v>6000</v>
      </c>
      <c r="AE111" s="132"/>
      <c r="AF111" s="132">
        <v>6000</v>
      </c>
      <c r="AG111" s="132"/>
      <c r="AH111" s="132"/>
      <c r="AI111" s="90"/>
      <c r="AJ111" s="90" t="s">
        <v>1351</v>
      </c>
      <c r="AK111" s="34" t="s">
        <v>785</v>
      </c>
      <c r="AL111" s="67" t="s">
        <v>2403</v>
      </c>
      <c r="AM111" s="35" t="s">
        <v>317</v>
      </c>
      <c r="AN111" s="91"/>
      <c r="AO111" s="157"/>
      <c r="AP111" s="158" t="s">
        <v>2051</v>
      </c>
      <c r="AQ111" s="158" t="s">
        <v>2017</v>
      </c>
      <c r="AR111" s="158" t="str">
        <f t="shared" si="183"/>
        <v>城市基础设施其他</v>
      </c>
      <c r="AS111" s="158" t="s">
        <v>2018</v>
      </c>
      <c r="AT111" s="158"/>
      <c r="AU111" s="161"/>
      <c r="AV111" s="161"/>
      <c r="AW111" s="160"/>
      <c r="AX111" s="157"/>
      <c r="AY111" s="157"/>
      <c r="AZ111" s="157"/>
      <c r="BA111" s="157"/>
      <c r="BB111" s="157"/>
      <c r="BC111" s="157"/>
      <c r="BD111" s="157"/>
      <c r="BE111" s="157"/>
      <c r="BF111" s="201" t="s">
        <v>205</v>
      </c>
      <c r="BG111" s="203" t="s">
        <v>1980</v>
      </c>
      <c r="BH111" s="201" t="str">
        <f t="shared" si="184"/>
        <v>政府浦北县人民政府</v>
      </c>
      <c r="BI111" s="201" t="str">
        <f t="shared" si="185"/>
        <v>基础设施浦北县人民政府</v>
      </c>
      <c r="BJ111" s="204">
        <f t="shared" si="179"/>
        <v>0</v>
      </c>
      <c r="BK111" s="157" t="str">
        <f t="shared" si="180"/>
        <v>城市基础设施其他1000</v>
      </c>
      <c r="BL111" s="157" t="str">
        <f t="shared" si="181"/>
        <v>城市基础设施其他2000</v>
      </c>
      <c r="BM111" s="157" t="str">
        <f t="shared" si="182"/>
        <v>城市基础设施其他5000</v>
      </c>
      <c r="BN111" s="157"/>
      <c r="BO111" s="157">
        <f t="shared" si="186"/>
        <v>1</v>
      </c>
      <c r="BP111" s="157">
        <f t="shared" si="187"/>
        <v>0</v>
      </c>
      <c r="BQ111" s="157">
        <f t="shared" si="188"/>
        <v>0</v>
      </c>
      <c r="BR111" s="157">
        <f t="shared" si="189"/>
        <v>0</v>
      </c>
      <c r="BS111" s="157">
        <f t="shared" si="190"/>
        <v>1</v>
      </c>
      <c r="BT111" s="181"/>
      <c r="BU111" s="206"/>
      <c r="BW111" s="7" t="s">
        <v>1890</v>
      </c>
      <c r="BX111" s="224"/>
      <c r="CB111" s="4"/>
      <c r="CC111" s="4"/>
      <c r="CD111" s="4"/>
      <c r="CE111" s="4"/>
      <c r="CF111" s="4"/>
      <c r="CG111" s="4"/>
    </row>
    <row r="112" ht="104.25" customHeight="1" spans="1:76">
      <c r="A112" s="23">
        <f>SUBTOTAL(3,C$7:C112)</f>
        <v>84</v>
      </c>
      <c r="B112" s="55" t="s">
        <v>1352</v>
      </c>
      <c r="C112" s="87" t="s">
        <v>562</v>
      </c>
      <c r="D112" s="232" t="s">
        <v>1353</v>
      </c>
      <c r="E112" s="35" t="s">
        <v>1354</v>
      </c>
      <c r="F112" s="35">
        <v>27808</v>
      </c>
      <c r="G112" s="35">
        <v>4410</v>
      </c>
      <c r="H112" s="123" t="s">
        <v>1355</v>
      </c>
      <c r="I112" s="67">
        <v>200</v>
      </c>
      <c r="J112" s="67">
        <v>1000</v>
      </c>
      <c r="K112" s="67">
        <v>2500</v>
      </c>
      <c r="L112" s="35">
        <v>3000</v>
      </c>
      <c r="M112" s="35"/>
      <c r="N112" s="50"/>
      <c r="O112" s="134"/>
      <c r="P112" s="55" t="s">
        <v>2404</v>
      </c>
      <c r="Q112" s="90" t="s">
        <v>2405</v>
      </c>
      <c r="R112" s="132"/>
      <c r="S112" s="132"/>
      <c r="T112" s="132"/>
      <c r="U112" s="132"/>
      <c r="V112" s="132"/>
      <c r="W112" s="132"/>
      <c r="X112" s="132"/>
      <c r="Y112" s="132"/>
      <c r="Z112" s="132"/>
      <c r="AA112" s="132"/>
      <c r="AB112" s="132"/>
      <c r="AC112" s="132"/>
      <c r="AD112" s="132"/>
      <c r="AE112" s="132"/>
      <c r="AF112" s="132"/>
      <c r="AG112" s="132"/>
      <c r="AH112" s="132"/>
      <c r="AI112" s="90"/>
      <c r="AJ112" s="90" t="s">
        <v>1356</v>
      </c>
      <c r="AK112" s="34" t="s">
        <v>1187</v>
      </c>
      <c r="AL112" s="67" t="s">
        <v>2406</v>
      </c>
      <c r="AM112" s="35" t="s">
        <v>317</v>
      </c>
      <c r="AN112" s="91"/>
      <c r="AO112" s="157"/>
      <c r="AP112" s="158" t="s">
        <v>2051</v>
      </c>
      <c r="AQ112" s="158" t="s">
        <v>2017</v>
      </c>
      <c r="AR112" s="158" t="str">
        <f t="shared" si="183"/>
        <v>城市基础设施其他</v>
      </c>
      <c r="AS112" s="158" t="s">
        <v>2018</v>
      </c>
      <c r="AT112" s="158"/>
      <c r="AU112" s="157"/>
      <c r="AV112" s="272"/>
      <c r="AW112" s="160"/>
      <c r="AX112" s="157"/>
      <c r="AY112" s="157"/>
      <c r="AZ112" s="157"/>
      <c r="BA112" s="157"/>
      <c r="BB112" s="157"/>
      <c r="BC112" s="157"/>
      <c r="BD112" s="157"/>
      <c r="BE112" s="157"/>
      <c r="BF112" s="157" t="s">
        <v>205</v>
      </c>
      <c r="BG112" s="203" t="s">
        <v>1980</v>
      </c>
      <c r="BH112" s="201" t="str">
        <f t="shared" si="184"/>
        <v>政府浦北县人民政府</v>
      </c>
      <c r="BI112" s="201" t="str">
        <f t="shared" si="185"/>
        <v>基础设施浦北县人民政府</v>
      </c>
      <c r="BJ112" s="204">
        <f t="shared" si="179"/>
        <v>0</v>
      </c>
      <c r="BK112" s="157" t="str">
        <f t="shared" si="180"/>
        <v>城市基础设施其他1000</v>
      </c>
      <c r="BL112" s="157" t="str">
        <f t="shared" si="181"/>
        <v>城市基础设施其他2000</v>
      </c>
      <c r="BM112" s="157" t="str">
        <f t="shared" si="182"/>
        <v/>
      </c>
      <c r="BN112" s="157"/>
      <c r="BO112" s="157">
        <f t="shared" si="186"/>
        <v>0</v>
      </c>
      <c r="BP112" s="157">
        <f t="shared" si="187"/>
        <v>0</v>
      </c>
      <c r="BQ112" s="157">
        <f t="shared" si="188"/>
        <v>0</v>
      </c>
      <c r="BR112" s="157">
        <f t="shared" si="189"/>
        <v>0</v>
      </c>
      <c r="BS112" s="157">
        <f t="shared" si="190"/>
        <v>0</v>
      </c>
      <c r="BT112" s="181"/>
      <c r="BU112" s="206"/>
      <c r="BX112" s="224"/>
    </row>
    <row r="113" ht="63" customHeight="1" spans="1:85">
      <c r="A113" s="23">
        <f>SUBTOTAL(3,C$7:C113)</f>
        <v>85</v>
      </c>
      <c r="B113" s="243" t="s">
        <v>1357</v>
      </c>
      <c r="C113" s="35" t="s">
        <v>562</v>
      </c>
      <c r="D113" s="232" t="s">
        <v>1358</v>
      </c>
      <c r="E113" s="35" t="s">
        <v>575</v>
      </c>
      <c r="F113" s="35">
        <v>18064</v>
      </c>
      <c r="G113" s="35">
        <v>4550</v>
      </c>
      <c r="H113" s="125" t="s">
        <v>1359</v>
      </c>
      <c r="I113" s="234">
        <v>150</v>
      </c>
      <c r="J113" s="234">
        <v>350</v>
      </c>
      <c r="K113" s="234">
        <v>600</v>
      </c>
      <c r="L113" s="35">
        <v>1000</v>
      </c>
      <c r="M113" s="35"/>
      <c r="N113" s="50"/>
      <c r="O113" s="134"/>
      <c r="P113" s="90" t="s">
        <v>2407</v>
      </c>
      <c r="Q113" s="90" t="s">
        <v>2408</v>
      </c>
      <c r="R113" s="132"/>
      <c r="S113" s="132"/>
      <c r="T113" s="132"/>
      <c r="U113" s="132"/>
      <c r="V113" s="132"/>
      <c r="W113" s="132"/>
      <c r="X113" s="132"/>
      <c r="Y113" s="132"/>
      <c r="Z113" s="132"/>
      <c r="AA113" s="132"/>
      <c r="AB113" s="132"/>
      <c r="AC113" s="132"/>
      <c r="AD113" s="132"/>
      <c r="AE113" s="132"/>
      <c r="AF113" s="132"/>
      <c r="AG113" s="132"/>
      <c r="AH113" s="132"/>
      <c r="AI113" s="90"/>
      <c r="AJ113" s="90" t="s">
        <v>1360</v>
      </c>
      <c r="AK113" s="34" t="s">
        <v>1187</v>
      </c>
      <c r="AL113" s="67" t="s">
        <v>2325</v>
      </c>
      <c r="AM113" s="35" t="s">
        <v>317</v>
      </c>
      <c r="AN113" s="91"/>
      <c r="AO113" s="157"/>
      <c r="AP113" s="158" t="s">
        <v>2051</v>
      </c>
      <c r="AQ113" s="158" t="s">
        <v>2017</v>
      </c>
      <c r="AR113" s="158" t="str">
        <f t="shared" si="183"/>
        <v>城市基础设施其他</v>
      </c>
      <c r="AS113" s="158" t="s">
        <v>2018</v>
      </c>
      <c r="AT113" s="158"/>
      <c r="AU113" s="161"/>
      <c r="AV113" s="161"/>
      <c r="AW113" s="160"/>
      <c r="AX113" s="157"/>
      <c r="AY113" s="157"/>
      <c r="AZ113" s="157"/>
      <c r="BA113" s="157"/>
      <c r="BB113" s="157"/>
      <c r="BC113" s="157"/>
      <c r="BD113" s="157"/>
      <c r="BE113" s="157"/>
      <c r="BF113" s="201" t="s">
        <v>205</v>
      </c>
      <c r="BG113" s="203" t="s">
        <v>1980</v>
      </c>
      <c r="BH113" s="201" t="str">
        <f t="shared" si="184"/>
        <v>政府浦北县人民政府</v>
      </c>
      <c r="BI113" s="201" t="str">
        <f t="shared" si="185"/>
        <v>基础设施浦北县人民政府</v>
      </c>
      <c r="BJ113" s="204">
        <f t="shared" si="179"/>
        <v>0</v>
      </c>
      <c r="BK113" s="157" t="str">
        <f t="shared" si="180"/>
        <v>城市基础设施其他1000</v>
      </c>
      <c r="BL113" s="157" t="str">
        <f t="shared" si="181"/>
        <v/>
      </c>
      <c r="BM113" s="157" t="str">
        <f t="shared" si="182"/>
        <v/>
      </c>
      <c r="BN113" s="157"/>
      <c r="BO113" s="157">
        <f t="shared" si="186"/>
        <v>0</v>
      </c>
      <c r="BP113" s="157">
        <f t="shared" si="187"/>
        <v>0</v>
      </c>
      <c r="BQ113" s="157">
        <f t="shared" si="188"/>
        <v>0</v>
      </c>
      <c r="BR113" s="157">
        <f t="shared" si="189"/>
        <v>0</v>
      </c>
      <c r="BS113" s="157">
        <f t="shared" si="190"/>
        <v>0</v>
      </c>
      <c r="BT113" s="181"/>
      <c r="BU113" s="206"/>
      <c r="BX113" s="224"/>
      <c r="CB113" s="4"/>
      <c r="CC113" s="4"/>
      <c r="CD113" s="4"/>
      <c r="CE113" s="4"/>
      <c r="CF113" s="4"/>
      <c r="CG113" s="4"/>
    </row>
    <row r="114" s="9" customFormat="1" ht="30" customHeight="1" spans="1:72">
      <c r="A114" s="551" t="s">
        <v>2059</v>
      </c>
      <c r="B114" s="557" t="str">
        <f>"园区基础设施（"&amp;SUBTOTAL(3,C115:C150)&amp;"个）"</f>
        <v>园区基础设施（30个）</v>
      </c>
      <c r="C114" s="557"/>
      <c r="D114" s="557"/>
      <c r="E114" s="551"/>
      <c r="F114" s="134">
        <f>F115+F120+F122+F134+F136+F139</f>
        <v>2986670</v>
      </c>
      <c r="G114" s="134">
        <f>G115+G120+G122+G134+G136+G139</f>
        <v>306179</v>
      </c>
      <c r="H114" s="134"/>
      <c r="I114" s="134">
        <f t="shared" ref="I114:O114" si="191">I115+I120+I122+I134+I136+I139</f>
        <v>35800</v>
      </c>
      <c r="J114" s="134">
        <f t="shared" si="191"/>
        <v>77260</v>
      </c>
      <c r="K114" s="134">
        <f t="shared" si="191"/>
        <v>140720</v>
      </c>
      <c r="L114" s="134">
        <f t="shared" si="191"/>
        <v>218600</v>
      </c>
      <c r="M114" s="134">
        <f t="shared" si="191"/>
        <v>0</v>
      </c>
      <c r="N114" s="134">
        <f t="shared" si="191"/>
        <v>0</v>
      </c>
      <c r="O114" s="134">
        <f t="shared" si="191"/>
        <v>0</v>
      </c>
      <c r="P114" s="90"/>
      <c r="Q114" s="90"/>
      <c r="R114" s="132"/>
      <c r="S114" s="132"/>
      <c r="T114" s="132"/>
      <c r="U114" s="132"/>
      <c r="V114" s="132"/>
      <c r="W114" s="132"/>
      <c r="X114" s="132"/>
      <c r="Y114" s="132"/>
      <c r="Z114" s="132"/>
      <c r="AA114" s="132"/>
      <c r="AB114" s="132"/>
      <c r="AC114" s="132"/>
      <c r="AD114" s="132"/>
      <c r="AE114" s="132"/>
      <c r="AF114" s="132"/>
      <c r="AG114" s="132"/>
      <c r="AH114" s="132"/>
      <c r="AI114" s="90"/>
      <c r="AJ114" s="90"/>
      <c r="AK114" s="591"/>
      <c r="AL114" s="134"/>
      <c r="AM114" s="134"/>
      <c r="AN114" s="91"/>
      <c r="AO114" s="165"/>
      <c r="AP114" s="158"/>
      <c r="AQ114" s="158"/>
      <c r="AR114" s="158"/>
      <c r="AS114" s="158"/>
      <c r="AT114" s="158"/>
      <c r="AU114" s="165"/>
      <c r="AV114" s="169"/>
      <c r="AW114" s="165"/>
      <c r="AX114" s="165"/>
      <c r="AY114" s="165"/>
      <c r="AZ114" s="165"/>
      <c r="BA114" s="165"/>
      <c r="BB114" s="169"/>
      <c r="BC114" s="169"/>
      <c r="BD114" s="169"/>
      <c r="BE114" s="165"/>
      <c r="BF114" s="201"/>
      <c r="BG114" s="685"/>
      <c r="BK114" s="201"/>
      <c r="BL114" s="201"/>
      <c r="BM114" s="201"/>
      <c r="BN114" s="201"/>
      <c r="BO114" s="201"/>
      <c r="BP114" s="201"/>
      <c r="BQ114" s="201"/>
      <c r="BR114" s="201"/>
      <c r="BS114" s="201"/>
      <c r="BT114" s="7"/>
    </row>
    <row r="115" s="9" customFormat="1" ht="30" customHeight="1" spans="1:72">
      <c r="A115" s="551"/>
      <c r="B115" s="557" t="str">
        <f>"生态环保（"&amp;SUBTOTAL(3,C116:C119)&amp;"个）"</f>
        <v>生态环保（4个）</v>
      </c>
      <c r="C115" s="551"/>
      <c r="D115" s="55"/>
      <c r="E115" s="551"/>
      <c r="F115" s="134">
        <f t="shared" ref="F115:M115" si="192">SUBTOTAL(9,F116:F119)</f>
        <v>1207858</v>
      </c>
      <c r="G115" s="134">
        <f t="shared" si="192"/>
        <v>28000</v>
      </c>
      <c r="H115" s="134"/>
      <c r="I115" s="134">
        <f t="shared" si="192"/>
        <v>7650</v>
      </c>
      <c r="J115" s="134">
        <f t="shared" si="192"/>
        <v>14400</v>
      </c>
      <c r="K115" s="134">
        <f t="shared" si="192"/>
        <v>34600</v>
      </c>
      <c r="L115" s="134">
        <f t="shared" si="192"/>
        <v>53000</v>
      </c>
      <c r="M115" s="134">
        <f t="shared" si="192"/>
        <v>0</v>
      </c>
      <c r="N115" s="134"/>
      <c r="O115" s="134"/>
      <c r="P115" s="90"/>
      <c r="Q115" s="90"/>
      <c r="R115" s="132"/>
      <c r="S115" s="132"/>
      <c r="T115" s="132"/>
      <c r="U115" s="132"/>
      <c r="V115" s="132"/>
      <c r="W115" s="132"/>
      <c r="X115" s="132"/>
      <c r="Y115" s="132"/>
      <c r="Z115" s="132"/>
      <c r="AA115" s="132"/>
      <c r="AB115" s="132"/>
      <c r="AC115" s="132"/>
      <c r="AD115" s="132"/>
      <c r="AE115" s="132"/>
      <c r="AF115" s="132"/>
      <c r="AG115" s="132"/>
      <c r="AH115" s="132"/>
      <c r="AI115" s="90"/>
      <c r="AJ115" s="90"/>
      <c r="AK115" s="591"/>
      <c r="AL115" s="134"/>
      <c r="AM115" s="134"/>
      <c r="AN115" s="91"/>
      <c r="AO115" s="165"/>
      <c r="AP115" s="158"/>
      <c r="AQ115" s="158"/>
      <c r="AR115" s="158"/>
      <c r="AS115" s="158"/>
      <c r="AT115" s="158"/>
      <c r="AU115" s="165"/>
      <c r="AV115" s="169"/>
      <c r="AW115" s="165"/>
      <c r="AX115" s="165"/>
      <c r="AY115" s="165"/>
      <c r="AZ115" s="165"/>
      <c r="BA115" s="165"/>
      <c r="BB115" s="169"/>
      <c r="BC115" s="169"/>
      <c r="BD115" s="169"/>
      <c r="BE115" s="165"/>
      <c r="BF115" s="201"/>
      <c r="BG115" s="685"/>
      <c r="BK115" s="201"/>
      <c r="BL115" s="201"/>
      <c r="BM115" s="201"/>
      <c r="BN115" s="201"/>
      <c r="BO115" s="201"/>
      <c r="BP115" s="201"/>
      <c r="BQ115" s="201"/>
      <c r="BR115" s="201"/>
      <c r="BS115" s="201"/>
      <c r="BT115" s="181"/>
    </row>
    <row r="116" s="6" customFormat="1" ht="109.5" customHeight="1" spans="1:75">
      <c r="A116" s="23">
        <f>SUBTOTAL(3,C$7:C116)</f>
        <v>86</v>
      </c>
      <c r="B116" s="697" t="s">
        <v>1660</v>
      </c>
      <c r="C116" s="35" t="s">
        <v>562</v>
      </c>
      <c r="D116" s="697" t="s">
        <v>1661</v>
      </c>
      <c r="E116" s="81" t="s">
        <v>1662</v>
      </c>
      <c r="F116" s="156">
        <v>1150000</v>
      </c>
      <c r="G116" s="67">
        <v>6500</v>
      </c>
      <c r="H116" s="34" t="s">
        <v>1663</v>
      </c>
      <c r="I116" s="67">
        <v>7000</v>
      </c>
      <c r="J116" s="67">
        <v>12000</v>
      </c>
      <c r="K116" s="67">
        <v>30000</v>
      </c>
      <c r="L116" s="67">
        <v>46500</v>
      </c>
      <c r="M116" s="156"/>
      <c r="N116" s="50"/>
      <c r="O116" s="118"/>
      <c r="P116" s="697" t="s">
        <v>2409</v>
      </c>
      <c r="Q116" s="697" t="s">
        <v>2410</v>
      </c>
      <c r="R116" s="132">
        <v>8475</v>
      </c>
      <c r="S116" s="132">
        <v>500</v>
      </c>
      <c r="T116" s="132">
        <v>8275</v>
      </c>
      <c r="U116" s="132">
        <v>8475</v>
      </c>
      <c r="V116" s="132">
        <v>3045</v>
      </c>
      <c r="W116" s="132">
        <v>5430</v>
      </c>
      <c r="X116" s="132">
        <v>136</v>
      </c>
      <c r="Y116" s="132"/>
      <c r="Z116" s="132">
        <v>136</v>
      </c>
      <c r="AA116" s="132">
        <v>8475</v>
      </c>
      <c r="AB116" s="132">
        <v>200</v>
      </c>
      <c r="AC116" s="132">
        <v>8275</v>
      </c>
      <c r="AD116" s="132">
        <v>53000</v>
      </c>
      <c r="AE116" s="132"/>
      <c r="AF116" s="132">
        <v>16800</v>
      </c>
      <c r="AG116" s="132"/>
      <c r="AH116" s="132">
        <v>36200</v>
      </c>
      <c r="AI116" s="90"/>
      <c r="AJ116" s="697" t="s">
        <v>2411</v>
      </c>
      <c r="AK116" s="131" t="s">
        <v>1665</v>
      </c>
      <c r="AL116" s="81" t="s">
        <v>2412</v>
      </c>
      <c r="AM116" s="81" t="s">
        <v>185</v>
      </c>
      <c r="AN116" s="91" t="s">
        <v>1666</v>
      </c>
      <c r="AO116" s="158"/>
      <c r="AP116" s="158" t="s">
        <v>2016</v>
      </c>
      <c r="AQ116" s="161" t="s">
        <v>2061</v>
      </c>
      <c r="AR116" s="158" t="str">
        <f t="shared" ref="AR116:AR119" si="193">AQ116&amp;AP116</f>
        <v>园区基础设施生态环保</v>
      </c>
      <c r="AS116" s="158" t="s">
        <v>2018</v>
      </c>
      <c r="AT116" s="160"/>
      <c r="AU116" s="157"/>
      <c r="AV116" s="157"/>
      <c r="AW116" s="157"/>
      <c r="AX116" s="157"/>
      <c r="AY116" s="157"/>
      <c r="AZ116" s="715"/>
      <c r="BA116" s="157"/>
      <c r="BB116" s="157"/>
      <c r="BC116" s="157"/>
      <c r="BD116" s="201"/>
      <c r="BE116" s="201"/>
      <c r="BF116" s="201" t="s">
        <v>92</v>
      </c>
      <c r="BG116" s="203" t="s">
        <v>1980</v>
      </c>
      <c r="BH116" s="201" t="str">
        <f t="shared" ref="BH116:BH119" si="194">BF116&amp;AM116</f>
        <v>企业中马钦州产业园区管委</v>
      </c>
      <c r="BI116" s="201" t="str">
        <f t="shared" ref="BI116:BI119" si="195">BG116&amp;AM116</f>
        <v>基础设施中马钦州产业园区管委</v>
      </c>
      <c r="BJ116" s="715"/>
      <c r="BK116" s="206"/>
      <c r="BL116" s="6" t="s">
        <v>1904</v>
      </c>
      <c r="BO116" s="157">
        <f t="shared" ref="BO116:BO119" si="196">IF(R116&gt;0,1,0)</f>
        <v>1</v>
      </c>
      <c r="BP116" s="157">
        <f t="shared" ref="BP116:BP119" si="197">IF(X116&gt;0,1,0)</f>
        <v>1</v>
      </c>
      <c r="BQ116" s="157">
        <f t="shared" ref="BQ116:BQ119" si="198">IF(U116&gt;0,1,0)</f>
        <v>1</v>
      </c>
      <c r="BR116" s="157">
        <f t="shared" ref="BR116:BR119" si="199">IF(AA116&gt;0,1,0)</f>
        <v>1</v>
      </c>
      <c r="BS116" s="157">
        <f t="shared" ref="BS116:BS119" si="200">IF(AD116&gt;0,1,0)</f>
        <v>1</v>
      </c>
      <c r="BW116" s="7" t="s">
        <v>1890</v>
      </c>
    </row>
    <row r="117" s="6" customFormat="1" ht="87.75" customHeight="1" spans="1:75">
      <c r="A117" s="23">
        <f>SUBTOTAL(3,C$7:C117)</f>
        <v>87</v>
      </c>
      <c r="B117" s="93" t="s">
        <v>1447</v>
      </c>
      <c r="C117" s="35" t="s">
        <v>562</v>
      </c>
      <c r="D117" s="93" t="s">
        <v>1448</v>
      </c>
      <c r="E117" s="92" t="s">
        <v>832</v>
      </c>
      <c r="F117" s="67">
        <v>36596</v>
      </c>
      <c r="G117" s="67">
        <v>16000</v>
      </c>
      <c r="H117" s="34" t="s">
        <v>1449</v>
      </c>
      <c r="I117" s="35">
        <v>300</v>
      </c>
      <c r="J117" s="35">
        <v>1500</v>
      </c>
      <c r="K117" s="35">
        <v>2700</v>
      </c>
      <c r="L117" s="156">
        <v>4000</v>
      </c>
      <c r="M117" s="156"/>
      <c r="N117" s="50"/>
      <c r="O117" s="118"/>
      <c r="P117" s="135" t="s">
        <v>2413</v>
      </c>
      <c r="Q117" s="135" t="s">
        <v>2199</v>
      </c>
      <c r="R117" s="134">
        <v>171.627</v>
      </c>
      <c r="S117" s="134"/>
      <c r="T117" s="134">
        <v>171.627</v>
      </c>
      <c r="U117" s="134">
        <v>71.4</v>
      </c>
      <c r="V117" s="134">
        <v>71.4</v>
      </c>
      <c r="W117" s="134"/>
      <c r="X117" s="134"/>
      <c r="Y117" s="134"/>
      <c r="Z117" s="134"/>
      <c r="AA117" s="134">
        <v>80</v>
      </c>
      <c r="AB117" s="134"/>
      <c r="AC117" s="134">
        <v>80</v>
      </c>
      <c r="AD117" s="134">
        <v>4000</v>
      </c>
      <c r="AE117" s="134"/>
      <c r="AF117" s="134"/>
      <c r="AG117" s="134"/>
      <c r="AH117" s="134">
        <v>4000</v>
      </c>
      <c r="AI117" s="90"/>
      <c r="AJ117" s="135" t="s">
        <v>1450</v>
      </c>
      <c r="AK117" s="123" t="s">
        <v>591</v>
      </c>
      <c r="AL117" s="67" t="s">
        <v>2075</v>
      </c>
      <c r="AM117" s="67" t="s">
        <v>185</v>
      </c>
      <c r="AN117" s="91" t="s">
        <v>2414</v>
      </c>
      <c r="AO117" s="158"/>
      <c r="AP117" s="158" t="s">
        <v>2016</v>
      </c>
      <c r="AQ117" s="161" t="s">
        <v>2061</v>
      </c>
      <c r="AR117" s="158" t="str">
        <f t="shared" si="193"/>
        <v>园区基础设施生态环保</v>
      </c>
      <c r="AS117" s="158" t="s">
        <v>2018</v>
      </c>
      <c r="AT117" s="160"/>
      <c r="AU117" s="157"/>
      <c r="AV117" s="157"/>
      <c r="AW117" s="157"/>
      <c r="AX117" s="157"/>
      <c r="AY117" s="157"/>
      <c r="AZ117" s="715"/>
      <c r="BA117" s="157"/>
      <c r="BB117" s="157"/>
      <c r="BC117" s="157"/>
      <c r="BD117" s="201"/>
      <c r="BE117" s="201"/>
      <c r="BF117" s="201" t="s">
        <v>205</v>
      </c>
      <c r="BG117" s="203" t="s">
        <v>1980</v>
      </c>
      <c r="BH117" s="201" t="str">
        <f t="shared" si="194"/>
        <v>政府中马钦州产业园区管委</v>
      </c>
      <c r="BI117" s="201" t="str">
        <f t="shared" si="195"/>
        <v>基础设施中马钦州产业园区管委</v>
      </c>
      <c r="BJ117" s="715"/>
      <c r="BK117" s="206"/>
      <c r="BL117" s="6" t="s">
        <v>1904</v>
      </c>
      <c r="BO117" s="157">
        <f t="shared" si="196"/>
        <v>1</v>
      </c>
      <c r="BP117" s="157">
        <f t="shared" si="197"/>
        <v>0</v>
      </c>
      <c r="BQ117" s="157">
        <f t="shared" si="198"/>
        <v>1</v>
      </c>
      <c r="BR117" s="157">
        <f t="shared" si="199"/>
        <v>1</v>
      </c>
      <c r="BS117" s="157">
        <f t="shared" si="200"/>
        <v>1</v>
      </c>
      <c r="BW117" s="7" t="s">
        <v>1890</v>
      </c>
    </row>
    <row r="118" ht="75" customHeight="1" spans="1:73">
      <c r="A118" s="23">
        <f>SUBTOTAL(3,C$7:C118)</f>
        <v>88</v>
      </c>
      <c r="B118" s="60" t="s">
        <v>1560</v>
      </c>
      <c r="C118" s="35" t="s">
        <v>562</v>
      </c>
      <c r="D118" s="60" t="s">
        <v>1561</v>
      </c>
      <c r="E118" s="23" t="s">
        <v>588</v>
      </c>
      <c r="F118" s="67">
        <v>14300</v>
      </c>
      <c r="G118" s="67">
        <v>5000</v>
      </c>
      <c r="H118" s="123" t="s">
        <v>1562</v>
      </c>
      <c r="I118" s="67">
        <v>300</v>
      </c>
      <c r="J118" s="67">
        <v>700</v>
      </c>
      <c r="K118" s="67">
        <v>1100</v>
      </c>
      <c r="L118" s="36">
        <v>1500</v>
      </c>
      <c r="M118" s="36"/>
      <c r="N118" s="36"/>
      <c r="O118" s="36"/>
      <c r="P118" s="90" t="s">
        <v>2415</v>
      </c>
      <c r="Q118" s="90" t="s">
        <v>117</v>
      </c>
      <c r="R118" s="132"/>
      <c r="S118" s="132"/>
      <c r="T118" s="132"/>
      <c r="U118" s="132"/>
      <c r="V118" s="132"/>
      <c r="W118" s="132"/>
      <c r="X118" s="132"/>
      <c r="Y118" s="132"/>
      <c r="Z118" s="132"/>
      <c r="AA118" s="132"/>
      <c r="AB118" s="132"/>
      <c r="AC118" s="132"/>
      <c r="AD118" s="132"/>
      <c r="AE118" s="132"/>
      <c r="AF118" s="132"/>
      <c r="AG118" s="132"/>
      <c r="AH118" s="132"/>
      <c r="AI118" s="90"/>
      <c r="AJ118" s="112" t="s">
        <v>806</v>
      </c>
      <c r="AK118" s="123" t="s">
        <v>807</v>
      </c>
      <c r="AL118" s="67" t="s">
        <v>2416</v>
      </c>
      <c r="AM118" s="35" t="s">
        <v>375</v>
      </c>
      <c r="AN118" s="91"/>
      <c r="AO118" s="157"/>
      <c r="AP118" s="158" t="s">
        <v>2016</v>
      </c>
      <c r="AQ118" s="158" t="s">
        <v>2061</v>
      </c>
      <c r="AR118" s="158" t="str">
        <f t="shared" si="193"/>
        <v>园区基础设施生态环保</v>
      </c>
      <c r="AS118" s="158" t="s">
        <v>2018</v>
      </c>
      <c r="AT118" s="158"/>
      <c r="AU118" s="157"/>
      <c r="AV118" s="159"/>
      <c r="AW118" s="160"/>
      <c r="AX118" s="157"/>
      <c r="AY118" s="157"/>
      <c r="AZ118" s="157"/>
      <c r="BA118" s="157"/>
      <c r="BB118" s="157"/>
      <c r="BC118" s="157"/>
      <c r="BD118" s="157"/>
      <c r="BE118" s="157"/>
      <c r="BF118" s="201" t="s">
        <v>205</v>
      </c>
      <c r="BG118" s="203" t="s">
        <v>1980</v>
      </c>
      <c r="BH118" s="201" t="str">
        <f t="shared" si="194"/>
        <v>政府钦北区人民政府</v>
      </c>
      <c r="BI118" s="201" t="str">
        <f t="shared" si="195"/>
        <v>基础设施钦北区人民政府</v>
      </c>
      <c r="BJ118" s="204">
        <f t="shared" ref="BJ118:BJ121" si="201">IF(N118&gt;0,1,0)</f>
        <v>0</v>
      </c>
      <c r="BK118" s="157" t="str">
        <f t="shared" ref="BK118:BK121" si="202">IF(L118&lt;1000,"",AR118&amp;"1000")</f>
        <v>园区基础设施生态环保1000</v>
      </c>
      <c r="BL118" s="157" t="str">
        <f t="shared" ref="BL118:BL121" si="203">IF(L118&lt;2000,"",AR118&amp;"2000")</f>
        <v/>
      </c>
      <c r="BM118" s="157" t="str">
        <f t="shared" ref="BM118:BM121" si="204">IF(L118&lt;5000,"",AR118&amp;"5000")</f>
        <v/>
      </c>
      <c r="BN118" s="157"/>
      <c r="BO118" s="157">
        <f t="shared" si="196"/>
        <v>0</v>
      </c>
      <c r="BP118" s="157">
        <f t="shared" si="197"/>
        <v>0</v>
      </c>
      <c r="BQ118" s="157">
        <f t="shared" si="198"/>
        <v>0</v>
      </c>
      <c r="BR118" s="157">
        <f t="shared" si="199"/>
        <v>0</v>
      </c>
      <c r="BS118" s="157">
        <f t="shared" si="200"/>
        <v>0</v>
      </c>
      <c r="BT118" s="273"/>
      <c r="BU118" s="206"/>
    </row>
    <row r="119" ht="90.75" customHeight="1" spans="1:73">
      <c r="A119" s="23">
        <f>SUBTOTAL(3,C$7:C119)</f>
        <v>89</v>
      </c>
      <c r="B119" s="55" t="s">
        <v>1500</v>
      </c>
      <c r="C119" s="35" t="s">
        <v>562</v>
      </c>
      <c r="D119" s="34" t="s">
        <v>2417</v>
      </c>
      <c r="E119" s="35" t="s">
        <v>575</v>
      </c>
      <c r="F119" s="36">
        <v>6962</v>
      </c>
      <c r="G119" s="36">
        <v>500</v>
      </c>
      <c r="H119" s="131" t="s">
        <v>1502</v>
      </c>
      <c r="I119" s="37">
        <v>50</v>
      </c>
      <c r="J119" s="37">
        <v>200</v>
      </c>
      <c r="K119" s="37">
        <v>800</v>
      </c>
      <c r="L119" s="36">
        <v>1000</v>
      </c>
      <c r="M119" s="36"/>
      <c r="N119" s="36"/>
      <c r="O119" s="36"/>
      <c r="P119" s="90"/>
      <c r="Q119" s="90"/>
      <c r="R119" s="132"/>
      <c r="S119" s="132"/>
      <c r="T119" s="132"/>
      <c r="U119" s="132"/>
      <c r="V119" s="132"/>
      <c r="W119" s="132"/>
      <c r="X119" s="132"/>
      <c r="Y119" s="132"/>
      <c r="Z119" s="132"/>
      <c r="AA119" s="132"/>
      <c r="AB119" s="132"/>
      <c r="AC119" s="132"/>
      <c r="AD119" s="132"/>
      <c r="AE119" s="132"/>
      <c r="AF119" s="132"/>
      <c r="AG119" s="132"/>
      <c r="AH119" s="132"/>
      <c r="AI119" s="90"/>
      <c r="AJ119" s="112" t="s">
        <v>117</v>
      </c>
      <c r="AK119" s="34" t="s">
        <v>1503</v>
      </c>
      <c r="AL119" s="35" t="s">
        <v>2418</v>
      </c>
      <c r="AM119" s="35" t="s">
        <v>269</v>
      </c>
      <c r="AN119" s="91"/>
      <c r="AO119" s="157"/>
      <c r="AP119" s="158" t="s">
        <v>2016</v>
      </c>
      <c r="AQ119" s="158" t="s">
        <v>2061</v>
      </c>
      <c r="AR119" s="158" t="str">
        <f t="shared" si="193"/>
        <v>园区基础设施生态环保</v>
      </c>
      <c r="AS119" s="158" t="s">
        <v>2018</v>
      </c>
      <c r="AT119" s="158"/>
      <c r="AU119" s="157"/>
      <c r="AV119" s="159"/>
      <c r="AW119" s="160"/>
      <c r="AX119" s="157"/>
      <c r="AY119" s="157"/>
      <c r="AZ119" s="157"/>
      <c r="BA119" s="157"/>
      <c r="BB119" s="157"/>
      <c r="BC119" s="157"/>
      <c r="BD119" s="157"/>
      <c r="BE119" s="157"/>
      <c r="BF119" s="201" t="s">
        <v>205</v>
      </c>
      <c r="BG119" s="203" t="s">
        <v>1980</v>
      </c>
      <c r="BH119" s="201" t="str">
        <f t="shared" si="194"/>
        <v>政府灵山县人民政府</v>
      </c>
      <c r="BI119" s="201" t="str">
        <f t="shared" si="195"/>
        <v>基础设施灵山县人民政府</v>
      </c>
      <c r="BJ119" s="204">
        <f t="shared" si="201"/>
        <v>0</v>
      </c>
      <c r="BK119" s="157" t="str">
        <f t="shared" si="202"/>
        <v>园区基础设施生态环保1000</v>
      </c>
      <c r="BL119" s="157" t="str">
        <f t="shared" si="203"/>
        <v/>
      </c>
      <c r="BM119" s="157" t="str">
        <f t="shared" si="204"/>
        <v/>
      </c>
      <c r="BN119" s="157"/>
      <c r="BO119" s="157">
        <f t="shared" si="196"/>
        <v>0</v>
      </c>
      <c r="BP119" s="157">
        <f t="shared" si="197"/>
        <v>0</v>
      </c>
      <c r="BQ119" s="157">
        <f t="shared" si="198"/>
        <v>0</v>
      </c>
      <c r="BR119" s="157">
        <f t="shared" si="199"/>
        <v>0</v>
      </c>
      <c r="BS119" s="157">
        <f t="shared" si="200"/>
        <v>0</v>
      </c>
      <c r="BT119" s="273"/>
      <c r="BU119" s="206"/>
    </row>
    <row r="120" s="9" customFormat="1" ht="36" customHeight="1" spans="1:72">
      <c r="A120" s="551"/>
      <c r="B120" s="557" t="str">
        <f>"海域吹填及土地平整（"&amp;SUBTOTAL(3,C121:C121)&amp;"个）"</f>
        <v>海域吹填及土地平整（1个）</v>
      </c>
      <c r="C120" s="551"/>
      <c r="D120" s="55"/>
      <c r="E120" s="551"/>
      <c r="F120" s="134">
        <f t="shared" ref="F120:M120" si="205">SUBTOTAL(9,F121:F121)</f>
        <v>153289</v>
      </c>
      <c r="G120" s="134">
        <f t="shared" si="205"/>
        <v>73012</v>
      </c>
      <c r="H120" s="134"/>
      <c r="I120" s="134">
        <f t="shared" si="205"/>
        <v>0</v>
      </c>
      <c r="J120" s="134">
        <f t="shared" si="205"/>
        <v>500</v>
      </c>
      <c r="K120" s="134">
        <f t="shared" si="205"/>
        <v>1000</v>
      </c>
      <c r="L120" s="134">
        <f t="shared" si="205"/>
        <v>2000</v>
      </c>
      <c r="M120" s="134">
        <f t="shared" si="205"/>
        <v>0</v>
      </c>
      <c r="N120" s="134"/>
      <c r="O120" s="134"/>
      <c r="P120" s="90"/>
      <c r="Q120" s="90"/>
      <c r="R120" s="132"/>
      <c r="S120" s="132"/>
      <c r="T120" s="132"/>
      <c r="U120" s="132"/>
      <c r="V120" s="132"/>
      <c r="W120" s="132"/>
      <c r="X120" s="132"/>
      <c r="Y120" s="132"/>
      <c r="Z120" s="132"/>
      <c r="AA120" s="132"/>
      <c r="AB120" s="132"/>
      <c r="AC120" s="132"/>
      <c r="AD120" s="132"/>
      <c r="AE120" s="132"/>
      <c r="AF120" s="132"/>
      <c r="AG120" s="132"/>
      <c r="AH120" s="132"/>
      <c r="AI120" s="90"/>
      <c r="AJ120" s="90"/>
      <c r="AK120" s="591"/>
      <c r="AL120" s="134"/>
      <c r="AM120" s="134"/>
      <c r="AN120" s="91"/>
      <c r="AO120" s="165"/>
      <c r="AP120" s="158"/>
      <c r="AQ120" s="158"/>
      <c r="AR120" s="158"/>
      <c r="AS120" s="158"/>
      <c r="AT120" s="158"/>
      <c r="AU120" s="165"/>
      <c r="AV120" s="169"/>
      <c r="AW120" s="165"/>
      <c r="AX120" s="165"/>
      <c r="AY120" s="165"/>
      <c r="AZ120" s="165"/>
      <c r="BA120" s="165"/>
      <c r="BB120" s="169"/>
      <c r="BC120" s="169"/>
      <c r="BD120" s="169"/>
      <c r="BE120" s="165"/>
      <c r="BF120" s="201"/>
      <c r="BG120" s="685"/>
      <c r="BK120" s="201"/>
      <c r="BL120" s="201"/>
      <c r="BM120" s="201"/>
      <c r="BN120" s="201"/>
      <c r="BO120" s="201"/>
      <c r="BP120" s="201"/>
      <c r="BQ120" s="201"/>
      <c r="BR120" s="201"/>
      <c r="BS120" s="201"/>
      <c r="BT120" s="181"/>
    </row>
    <row r="121" ht="85.5" customHeight="1" spans="1:79">
      <c r="A121" s="23">
        <f>SUBTOTAL(3,C$7:C121)</f>
        <v>90</v>
      </c>
      <c r="B121" s="55" t="s">
        <v>1395</v>
      </c>
      <c r="C121" s="35" t="s">
        <v>562</v>
      </c>
      <c r="D121" s="55" t="s">
        <v>1396</v>
      </c>
      <c r="E121" s="35" t="s">
        <v>1049</v>
      </c>
      <c r="F121" s="38">
        <v>153289</v>
      </c>
      <c r="G121" s="38">
        <v>73012</v>
      </c>
      <c r="H121" s="123" t="s">
        <v>2419</v>
      </c>
      <c r="I121" s="67"/>
      <c r="J121" s="67">
        <v>500</v>
      </c>
      <c r="K121" s="67">
        <v>1000</v>
      </c>
      <c r="L121" s="38">
        <v>2000</v>
      </c>
      <c r="M121" s="38"/>
      <c r="N121" s="36"/>
      <c r="O121" s="76"/>
      <c r="P121" s="90" t="s">
        <v>2420</v>
      </c>
      <c r="Q121" s="90" t="s">
        <v>2421</v>
      </c>
      <c r="R121" s="132"/>
      <c r="S121" s="132"/>
      <c r="T121" s="132"/>
      <c r="U121" s="132"/>
      <c r="V121" s="132"/>
      <c r="W121" s="132"/>
      <c r="X121" s="132"/>
      <c r="Y121" s="132"/>
      <c r="Z121" s="132"/>
      <c r="AA121" s="132"/>
      <c r="AB121" s="132"/>
      <c r="AC121" s="132"/>
      <c r="AD121" s="132">
        <v>2000</v>
      </c>
      <c r="AE121" s="132"/>
      <c r="AF121" s="132"/>
      <c r="AG121" s="132"/>
      <c r="AH121" s="132">
        <v>2000</v>
      </c>
      <c r="AI121" s="90"/>
      <c r="AJ121" s="90" t="s">
        <v>1398</v>
      </c>
      <c r="AK121" s="34" t="s">
        <v>1003</v>
      </c>
      <c r="AL121" s="35" t="s">
        <v>2067</v>
      </c>
      <c r="AM121" s="35" t="s">
        <v>119</v>
      </c>
      <c r="AN121" s="91"/>
      <c r="AO121" s="157"/>
      <c r="AP121" s="161" t="s">
        <v>2068</v>
      </c>
      <c r="AQ121" s="161" t="s">
        <v>2061</v>
      </c>
      <c r="AR121" s="158" t="str">
        <f>AQ121&amp;AP121</f>
        <v>园区基础设施海域吹填及土地平整</v>
      </c>
      <c r="AS121" s="158" t="s">
        <v>2018</v>
      </c>
      <c r="AT121" s="158"/>
      <c r="AU121" s="157"/>
      <c r="AV121" s="159"/>
      <c r="AW121" s="160"/>
      <c r="AX121" s="157"/>
      <c r="AY121" s="157"/>
      <c r="AZ121" s="157"/>
      <c r="BA121" s="157"/>
      <c r="BB121" s="157"/>
      <c r="BC121" s="157"/>
      <c r="BD121" s="157"/>
      <c r="BE121" s="157"/>
      <c r="BF121" s="201" t="s">
        <v>205</v>
      </c>
      <c r="BG121" s="203" t="s">
        <v>1980</v>
      </c>
      <c r="BH121" s="201" t="str">
        <f>BF121&amp;AM121</f>
        <v>政府钦州港区管委</v>
      </c>
      <c r="BI121" s="201" t="str">
        <f>BG121&amp;AM121</f>
        <v>基础设施钦州港区管委</v>
      </c>
      <c r="BJ121" s="204">
        <f t="shared" si="201"/>
        <v>0</v>
      </c>
      <c r="BK121" s="157" t="str">
        <f t="shared" si="202"/>
        <v>园区基础设施海域吹填及土地平整1000</v>
      </c>
      <c r="BL121" s="157" t="str">
        <f t="shared" si="203"/>
        <v>园区基础设施海域吹填及土地平整2000</v>
      </c>
      <c r="BM121" s="157" t="str">
        <f t="shared" si="204"/>
        <v/>
      </c>
      <c r="BN121" s="157"/>
      <c r="BO121" s="157">
        <f>IF(R121&gt;0,1,0)</f>
        <v>0</v>
      </c>
      <c r="BP121" s="157">
        <f>IF(X121&gt;0,1,0)</f>
        <v>0</v>
      </c>
      <c r="BQ121" s="157">
        <f>IF(U121&gt;0,1,0)</f>
        <v>0</v>
      </c>
      <c r="BR121" s="157">
        <f>IF(AA121&gt;0,1,0)</f>
        <v>0</v>
      </c>
      <c r="BS121" s="157">
        <f>IF(AD121&gt;0,1,0)</f>
        <v>1</v>
      </c>
      <c r="BT121" s="716"/>
      <c r="BU121" s="206"/>
      <c r="BW121" s="7" t="s">
        <v>1890</v>
      </c>
      <c r="BX121" s="227"/>
      <c r="BY121" s="204"/>
      <c r="BZ121" s="204"/>
      <c r="CA121" s="204"/>
    </row>
    <row r="122" s="9" customFormat="1" ht="30" customHeight="1" spans="1:72">
      <c r="A122" s="551"/>
      <c r="B122" s="557" t="str">
        <f>"路网工程（"&amp;SUBTOTAL(3,C123:C133)&amp;"个）"</f>
        <v>路网工程（11个）</v>
      </c>
      <c r="C122" s="551"/>
      <c r="D122" s="55"/>
      <c r="E122" s="551"/>
      <c r="F122" s="134">
        <f>SUBTOTAL(9,F123:F133)</f>
        <v>326141</v>
      </c>
      <c r="G122" s="134">
        <f>SUBTOTAL(9,G123:G133)</f>
        <v>39509</v>
      </c>
      <c r="H122" s="134"/>
      <c r="I122" s="134">
        <f t="shared" ref="I122:O122" si="206">SUBTOTAL(9,I123:I133)</f>
        <v>9500</v>
      </c>
      <c r="J122" s="134">
        <f t="shared" si="206"/>
        <v>21400</v>
      </c>
      <c r="K122" s="134">
        <f t="shared" si="206"/>
        <v>32800</v>
      </c>
      <c r="L122" s="134">
        <f t="shared" si="206"/>
        <v>42300</v>
      </c>
      <c r="M122" s="134">
        <f t="shared" si="206"/>
        <v>0</v>
      </c>
      <c r="N122" s="134">
        <f t="shared" si="206"/>
        <v>0</v>
      </c>
      <c r="O122" s="134">
        <f t="shared" si="206"/>
        <v>0</v>
      </c>
      <c r="P122" s="90"/>
      <c r="Q122" s="90"/>
      <c r="R122" s="132"/>
      <c r="S122" s="132"/>
      <c r="T122" s="132"/>
      <c r="U122" s="132"/>
      <c r="V122" s="132"/>
      <c r="W122" s="132"/>
      <c r="X122" s="132"/>
      <c r="Y122" s="132"/>
      <c r="Z122" s="132"/>
      <c r="AA122" s="132"/>
      <c r="AB122" s="132"/>
      <c r="AC122" s="132"/>
      <c r="AD122" s="132"/>
      <c r="AE122" s="132"/>
      <c r="AF122" s="132"/>
      <c r="AG122" s="132"/>
      <c r="AH122" s="132"/>
      <c r="AI122" s="90"/>
      <c r="AJ122" s="90"/>
      <c r="AK122" s="591"/>
      <c r="AL122" s="134"/>
      <c r="AM122" s="134"/>
      <c r="AN122" s="91"/>
      <c r="AO122" s="165"/>
      <c r="AP122" s="158"/>
      <c r="AQ122" s="158"/>
      <c r="AR122" s="158"/>
      <c r="AS122" s="158"/>
      <c r="AT122" s="158"/>
      <c r="AU122" s="165"/>
      <c r="AV122" s="169"/>
      <c r="AW122" s="165"/>
      <c r="AX122" s="165"/>
      <c r="AY122" s="165"/>
      <c r="AZ122" s="165"/>
      <c r="BA122" s="165"/>
      <c r="BB122" s="169"/>
      <c r="BC122" s="169"/>
      <c r="BD122" s="169"/>
      <c r="BE122" s="165"/>
      <c r="BF122" s="201"/>
      <c r="BG122" s="685"/>
      <c r="BK122" s="201"/>
      <c r="BL122" s="201"/>
      <c r="BM122" s="201"/>
      <c r="BN122" s="201"/>
      <c r="BO122" s="201"/>
      <c r="BP122" s="201"/>
      <c r="BQ122" s="201"/>
      <c r="BR122" s="201"/>
      <c r="BS122" s="201"/>
      <c r="BT122" s="181"/>
    </row>
    <row r="123" s="9" customFormat="1" ht="89.25" customHeight="1" spans="1:75">
      <c r="A123" s="23">
        <f>SUBTOTAL(3,C$7:C123)</f>
        <v>91</v>
      </c>
      <c r="B123" s="60" t="s">
        <v>1399</v>
      </c>
      <c r="C123" s="23" t="s">
        <v>562</v>
      </c>
      <c r="D123" s="88" t="s">
        <v>1400</v>
      </c>
      <c r="E123" s="23" t="s">
        <v>575</v>
      </c>
      <c r="F123" s="67">
        <v>36935</v>
      </c>
      <c r="G123" s="67">
        <v>3825</v>
      </c>
      <c r="H123" s="244" t="s">
        <v>1401</v>
      </c>
      <c r="I123" s="136">
        <v>3000</v>
      </c>
      <c r="J123" s="136">
        <v>7000</v>
      </c>
      <c r="K123" s="136">
        <v>11000</v>
      </c>
      <c r="L123" s="67">
        <v>15000</v>
      </c>
      <c r="M123" s="67"/>
      <c r="N123" s="61"/>
      <c r="O123" s="136"/>
      <c r="P123" s="90" t="s">
        <v>2422</v>
      </c>
      <c r="Q123" s="90" t="s">
        <v>117</v>
      </c>
      <c r="R123" s="132">
        <v>523</v>
      </c>
      <c r="S123" s="132">
        <v>523</v>
      </c>
      <c r="T123" s="132"/>
      <c r="U123" s="132"/>
      <c r="V123" s="132"/>
      <c r="W123" s="132"/>
      <c r="X123" s="132">
        <v>2.8</v>
      </c>
      <c r="Y123" s="132"/>
      <c r="Z123" s="132">
        <v>2.8</v>
      </c>
      <c r="AA123" s="132">
        <v>186</v>
      </c>
      <c r="AB123" s="132">
        <v>152</v>
      </c>
      <c r="AC123" s="132">
        <v>34</v>
      </c>
      <c r="AD123" s="132">
        <v>15000</v>
      </c>
      <c r="AE123" s="132"/>
      <c r="AF123" s="132">
        <v>8000</v>
      </c>
      <c r="AG123" s="132"/>
      <c r="AH123" s="132">
        <v>7000</v>
      </c>
      <c r="AI123" s="171"/>
      <c r="AJ123" s="90" t="s">
        <v>1402</v>
      </c>
      <c r="AK123" s="34" t="s">
        <v>1003</v>
      </c>
      <c r="AL123" s="35" t="s">
        <v>2423</v>
      </c>
      <c r="AM123" s="35" t="s">
        <v>119</v>
      </c>
      <c r="AN123" s="91"/>
      <c r="AO123" s="157"/>
      <c r="AP123" s="161" t="s">
        <v>2020</v>
      </c>
      <c r="AQ123" s="161" t="s">
        <v>2061</v>
      </c>
      <c r="AR123" s="158" t="str">
        <f t="shared" ref="AR123:AR133" si="207">AQ123&amp;AP123</f>
        <v>园区基础设施路网工程</v>
      </c>
      <c r="AS123" s="158" t="s">
        <v>2021</v>
      </c>
      <c r="AT123" s="161"/>
      <c r="AU123" s="161"/>
      <c r="AV123" s="161"/>
      <c r="AW123" s="160"/>
      <c r="AX123" s="157"/>
      <c r="AY123" s="157"/>
      <c r="AZ123" s="157"/>
      <c r="BA123" s="157"/>
      <c r="BB123" s="157"/>
      <c r="BC123" s="157"/>
      <c r="BD123" s="157"/>
      <c r="BE123" s="157"/>
      <c r="BF123" s="201" t="s">
        <v>205</v>
      </c>
      <c r="BG123" s="203" t="s">
        <v>1980</v>
      </c>
      <c r="BH123" s="201" t="str">
        <f t="shared" ref="BH123:BH133" si="208">BF123&amp;AM123</f>
        <v>政府钦州港区管委</v>
      </c>
      <c r="BI123" s="201" t="str">
        <f t="shared" ref="BI123:BI133" si="209">BG123&amp;AM123</f>
        <v>基础设施钦州港区管委</v>
      </c>
      <c r="BJ123" s="204">
        <f t="shared" ref="BJ123:BJ126" si="210">IF(N123&gt;0,1,0)</f>
        <v>0</v>
      </c>
      <c r="BK123" s="157" t="str">
        <f t="shared" ref="BK123:BK126" si="211">IF(L123&lt;1000,"",AR123&amp;"1000")</f>
        <v>园区基础设施路网工程1000</v>
      </c>
      <c r="BL123" s="157" t="str">
        <f t="shared" ref="BL123:BL126" si="212">IF(L123&lt;2000,"",AR123&amp;"2000")</f>
        <v>园区基础设施路网工程2000</v>
      </c>
      <c r="BM123" s="157" t="str">
        <f t="shared" ref="BM123:BM126" si="213">IF(L123&lt;5000,"",AR123&amp;"5000")</f>
        <v>园区基础设施路网工程5000</v>
      </c>
      <c r="BN123" s="157"/>
      <c r="BO123" s="157">
        <f t="shared" ref="BO123:BO133" si="214">IF(R123&gt;0,1,0)</f>
        <v>1</v>
      </c>
      <c r="BP123" s="157">
        <f t="shared" ref="BP123:BP133" si="215">IF(X123&gt;0,1,0)</f>
        <v>1</v>
      </c>
      <c r="BQ123" s="157">
        <f t="shared" ref="BQ123:BQ133" si="216">IF(U123&gt;0,1,0)</f>
        <v>0</v>
      </c>
      <c r="BR123" s="157">
        <f t="shared" ref="BR123:BR133" si="217">IF(AA123&gt;0,1,0)</f>
        <v>1</v>
      </c>
      <c r="BS123" s="157">
        <f t="shared" ref="BS123:BS133" si="218">IF(AD123&gt;0,1,0)</f>
        <v>1</v>
      </c>
      <c r="BT123" s="157"/>
      <c r="BU123" s="206"/>
      <c r="BW123" s="7"/>
    </row>
    <row r="124" ht="64.5" customHeight="1" spans="1:85">
      <c r="A124" s="23">
        <f>SUBTOTAL(3,C$7:C124)</f>
        <v>92</v>
      </c>
      <c r="B124" s="55" t="s">
        <v>1433</v>
      </c>
      <c r="C124" s="35" t="s">
        <v>562</v>
      </c>
      <c r="D124" s="55" t="s">
        <v>1434</v>
      </c>
      <c r="E124" s="35" t="s">
        <v>575</v>
      </c>
      <c r="F124" s="36">
        <v>190800</v>
      </c>
      <c r="G124" s="67">
        <v>500</v>
      </c>
      <c r="H124" s="34" t="s">
        <v>1435</v>
      </c>
      <c r="I124" s="709">
        <v>500</v>
      </c>
      <c r="J124" s="709">
        <v>1500</v>
      </c>
      <c r="K124" s="709">
        <v>2000</v>
      </c>
      <c r="L124" s="709">
        <v>2500</v>
      </c>
      <c r="M124" s="36"/>
      <c r="N124" s="111"/>
      <c r="O124" s="67"/>
      <c r="P124" s="259" t="s">
        <v>2424</v>
      </c>
      <c r="Q124" s="90" t="s">
        <v>2425</v>
      </c>
      <c r="R124" s="132">
        <v>200</v>
      </c>
      <c r="S124" s="132">
        <v>200</v>
      </c>
      <c r="T124" s="132"/>
      <c r="U124" s="132">
        <v>200</v>
      </c>
      <c r="V124" s="132">
        <v>200</v>
      </c>
      <c r="W124" s="132"/>
      <c r="X124" s="132"/>
      <c r="Y124" s="132"/>
      <c r="Z124" s="132"/>
      <c r="AA124" s="132">
        <v>200</v>
      </c>
      <c r="AB124" s="132">
        <v>200</v>
      </c>
      <c r="AC124" s="132"/>
      <c r="AD124" s="132">
        <v>20000</v>
      </c>
      <c r="AE124" s="132"/>
      <c r="AF124" s="132">
        <v>6800</v>
      </c>
      <c r="AG124" s="132"/>
      <c r="AH124" s="132">
        <v>13200</v>
      </c>
      <c r="AI124" s="90"/>
      <c r="AJ124" s="259" t="s">
        <v>2426</v>
      </c>
      <c r="AK124" s="249" t="s">
        <v>766</v>
      </c>
      <c r="AL124" s="129" t="s">
        <v>2427</v>
      </c>
      <c r="AM124" s="81" t="s">
        <v>185</v>
      </c>
      <c r="AN124" s="270"/>
      <c r="AO124" s="158"/>
      <c r="AP124" s="161" t="s">
        <v>2020</v>
      </c>
      <c r="AQ124" s="161" t="s">
        <v>2061</v>
      </c>
      <c r="AR124" s="158" t="str">
        <f t="shared" si="207"/>
        <v>园区基础设施路网工程</v>
      </c>
      <c r="AS124" s="158" t="s">
        <v>2021</v>
      </c>
      <c r="AT124" s="160"/>
      <c r="AU124" s="157"/>
      <c r="AV124" s="157"/>
      <c r="AW124" s="157"/>
      <c r="AX124" s="157"/>
      <c r="AY124" s="157"/>
      <c r="AZ124" s="181"/>
      <c r="BA124" s="157"/>
      <c r="BB124" s="157"/>
      <c r="BC124" s="157"/>
      <c r="BF124" s="157" t="s">
        <v>205</v>
      </c>
      <c r="BG124" s="203" t="s">
        <v>1980</v>
      </c>
      <c r="BH124" s="201" t="str">
        <f t="shared" si="208"/>
        <v>政府中马钦州产业园区管委</v>
      </c>
      <c r="BI124" s="201" t="str">
        <f t="shared" si="209"/>
        <v>基础设施中马钦州产业园区管委</v>
      </c>
      <c r="BJ124" s="181"/>
      <c r="BL124" s="4"/>
      <c r="BM124" s="6"/>
      <c r="BN124" s="6"/>
      <c r="BO124" s="157">
        <f t="shared" si="214"/>
        <v>1</v>
      </c>
      <c r="BP124" s="157">
        <f t="shared" si="215"/>
        <v>0</v>
      </c>
      <c r="BQ124" s="157">
        <f t="shared" si="216"/>
        <v>1</v>
      </c>
      <c r="BR124" s="157">
        <f t="shared" si="217"/>
        <v>1</v>
      </c>
      <c r="BS124" s="157">
        <f t="shared" si="218"/>
        <v>1</v>
      </c>
      <c r="BT124" s="228"/>
      <c r="BU124" s="229"/>
      <c r="BV124" s="6"/>
      <c r="BW124" s="7" t="s">
        <v>1890</v>
      </c>
      <c r="BX124" s="4"/>
      <c r="BY124" s="4"/>
      <c r="BZ124" s="4"/>
      <c r="CA124" s="4"/>
      <c r="CB124" s="4"/>
      <c r="CC124" s="4"/>
      <c r="CD124" s="4"/>
      <c r="CE124" s="4"/>
      <c r="CF124" s="4"/>
      <c r="CG124" s="4"/>
    </row>
    <row r="125" ht="64.5" customHeight="1" spans="1:79">
      <c r="A125" s="23">
        <f>SUBTOTAL(3,C$7:C125)</f>
        <v>93</v>
      </c>
      <c r="B125" s="55" t="s">
        <v>1451</v>
      </c>
      <c r="C125" s="35" t="s">
        <v>562</v>
      </c>
      <c r="D125" s="55" t="s">
        <v>1452</v>
      </c>
      <c r="E125" s="35" t="s">
        <v>575</v>
      </c>
      <c r="F125" s="38">
        <v>30498</v>
      </c>
      <c r="G125" s="38">
        <v>17300</v>
      </c>
      <c r="H125" s="112" t="s">
        <v>1453</v>
      </c>
      <c r="I125" s="76">
        <v>1600</v>
      </c>
      <c r="J125" s="76">
        <v>3200</v>
      </c>
      <c r="K125" s="76">
        <v>4800</v>
      </c>
      <c r="L125" s="38">
        <v>5400</v>
      </c>
      <c r="M125" s="38"/>
      <c r="N125" s="36"/>
      <c r="O125" s="35"/>
      <c r="P125" s="90" t="s">
        <v>2428</v>
      </c>
      <c r="Q125" s="90" t="s">
        <v>2429</v>
      </c>
      <c r="R125" s="132">
        <v>202</v>
      </c>
      <c r="S125" s="132">
        <v>202</v>
      </c>
      <c r="T125" s="132"/>
      <c r="U125" s="132"/>
      <c r="V125" s="132"/>
      <c r="W125" s="132"/>
      <c r="X125" s="132"/>
      <c r="Y125" s="132"/>
      <c r="Z125" s="132"/>
      <c r="AA125" s="132">
        <v>35</v>
      </c>
      <c r="AB125" s="132"/>
      <c r="AC125" s="132">
        <v>35</v>
      </c>
      <c r="AD125" s="132">
        <v>5400</v>
      </c>
      <c r="AE125" s="132"/>
      <c r="AF125" s="132"/>
      <c r="AG125" s="132"/>
      <c r="AH125" s="132">
        <v>5400</v>
      </c>
      <c r="AI125" s="90"/>
      <c r="AJ125" s="90" t="s">
        <v>1454</v>
      </c>
      <c r="AK125" s="34" t="s">
        <v>1416</v>
      </c>
      <c r="AL125" s="35" t="s">
        <v>1914</v>
      </c>
      <c r="AM125" s="67" t="s">
        <v>185</v>
      </c>
      <c r="AN125" s="270" t="s">
        <v>1455</v>
      </c>
      <c r="AO125" s="157"/>
      <c r="AP125" s="161" t="s">
        <v>2020</v>
      </c>
      <c r="AQ125" s="161" t="s">
        <v>2061</v>
      </c>
      <c r="AR125" s="158" t="str">
        <f t="shared" si="207"/>
        <v>园区基础设施路网工程</v>
      </c>
      <c r="AS125" s="158" t="s">
        <v>2021</v>
      </c>
      <c r="AT125" s="158"/>
      <c r="AU125" s="161"/>
      <c r="AV125" s="161"/>
      <c r="AW125" s="160"/>
      <c r="AX125" s="157"/>
      <c r="AY125" s="157"/>
      <c r="AZ125" s="157"/>
      <c r="BA125" s="157"/>
      <c r="BB125" s="157"/>
      <c r="BC125" s="157"/>
      <c r="BD125" s="157"/>
      <c r="BE125" s="157"/>
      <c r="BF125" s="157" t="s">
        <v>205</v>
      </c>
      <c r="BG125" s="203" t="s">
        <v>1980</v>
      </c>
      <c r="BH125" s="201" t="str">
        <f t="shared" si="208"/>
        <v>政府中马钦州产业园区管委</v>
      </c>
      <c r="BI125" s="201" t="str">
        <f t="shared" si="209"/>
        <v>基础设施中马钦州产业园区管委</v>
      </c>
      <c r="BJ125" s="204">
        <f t="shared" si="210"/>
        <v>0</v>
      </c>
      <c r="BK125" s="157" t="str">
        <f t="shared" si="211"/>
        <v>园区基础设施路网工程1000</v>
      </c>
      <c r="BL125" s="157" t="str">
        <f t="shared" si="212"/>
        <v>园区基础设施路网工程2000</v>
      </c>
      <c r="BM125" s="157" t="str">
        <f t="shared" si="213"/>
        <v>园区基础设施路网工程5000</v>
      </c>
      <c r="BN125" s="157"/>
      <c r="BO125" s="157">
        <f t="shared" si="214"/>
        <v>1</v>
      </c>
      <c r="BP125" s="157">
        <f t="shared" si="215"/>
        <v>0</v>
      </c>
      <c r="BQ125" s="157">
        <f t="shared" si="216"/>
        <v>0</v>
      </c>
      <c r="BR125" s="157">
        <f t="shared" si="217"/>
        <v>1</v>
      </c>
      <c r="BS125" s="157">
        <f t="shared" si="218"/>
        <v>1</v>
      </c>
      <c r="BT125" s="157"/>
      <c r="BU125" s="206"/>
      <c r="BW125" s="204"/>
      <c r="BX125" s="227"/>
      <c r="BY125" s="204"/>
      <c r="BZ125" s="204"/>
      <c r="CA125" s="204"/>
    </row>
    <row r="126" ht="60.6" customHeight="1" spans="1:79">
      <c r="A126" s="23">
        <f>SUBTOTAL(3,C$7:C126)</f>
        <v>94</v>
      </c>
      <c r="B126" s="55" t="s">
        <v>1463</v>
      </c>
      <c r="C126" s="35" t="s">
        <v>562</v>
      </c>
      <c r="D126" s="55" t="s">
        <v>1464</v>
      </c>
      <c r="E126" s="35" t="s">
        <v>575</v>
      </c>
      <c r="F126" s="38">
        <v>9564</v>
      </c>
      <c r="G126" s="38">
        <v>1860</v>
      </c>
      <c r="H126" s="112" t="s">
        <v>1465</v>
      </c>
      <c r="I126" s="76">
        <v>1000</v>
      </c>
      <c r="J126" s="76">
        <v>2200</v>
      </c>
      <c r="K126" s="76">
        <v>3500</v>
      </c>
      <c r="L126" s="38">
        <v>5000</v>
      </c>
      <c r="M126" s="38"/>
      <c r="N126" s="67"/>
      <c r="O126" s="67"/>
      <c r="P126" s="90" t="s">
        <v>284</v>
      </c>
      <c r="Q126" s="137" t="s">
        <v>117</v>
      </c>
      <c r="R126" s="115">
        <v>55</v>
      </c>
      <c r="S126" s="115">
        <v>55</v>
      </c>
      <c r="T126" s="115"/>
      <c r="U126" s="115"/>
      <c r="V126" s="115"/>
      <c r="W126" s="115"/>
      <c r="X126" s="115"/>
      <c r="Y126" s="115"/>
      <c r="Z126" s="115"/>
      <c r="AA126" s="115"/>
      <c r="AB126" s="115"/>
      <c r="AC126" s="115"/>
      <c r="AD126" s="115">
        <v>5000</v>
      </c>
      <c r="AE126" s="115"/>
      <c r="AF126" s="115"/>
      <c r="AG126" s="115"/>
      <c r="AH126" s="115">
        <v>5000</v>
      </c>
      <c r="AI126" s="90"/>
      <c r="AJ126" s="90" t="s">
        <v>1466</v>
      </c>
      <c r="AK126" s="34" t="s">
        <v>1416</v>
      </c>
      <c r="AL126" s="35" t="s">
        <v>1914</v>
      </c>
      <c r="AM126" s="67" t="s">
        <v>185</v>
      </c>
      <c r="AN126" s="91"/>
      <c r="AO126" s="157"/>
      <c r="AP126" s="161" t="s">
        <v>2020</v>
      </c>
      <c r="AQ126" s="161" t="s">
        <v>2061</v>
      </c>
      <c r="AR126" s="158" t="str">
        <f t="shared" si="207"/>
        <v>园区基础设施路网工程</v>
      </c>
      <c r="AS126" s="158" t="s">
        <v>2021</v>
      </c>
      <c r="AT126" s="158"/>
      <c r="AU126" s="157"/>
      <c r="AV126" s="272"/>
      <c r="AW126" s="160"/>
      <c r="AX126" s="157"/>
      <c r="AY126" s="157"/>
      <c r="AZ126" s="157"/>
      <c r="BA126" s="157"/>
      <c r="BB126" s="157"/>
      <c r="BC126" s="157"/>
      <c r="BD126" s="157"/>
      <c r="BE126" s="157"/>
      <c r="BF126" s="157" t="s">
        <v>205</v>
      </c>
      <c r="BG126" s="203" t="s">
        <v>1980</v>
      </c>
      <c r="BH126" s="201" t="str">
        <f t="shared" si="208"/>
        <v>政府中马钦州产业园区管委</v>
      </c>
      <c r="BI126" s="201" t="str">
        <f t="shared" si="209"/>
        <v>基础设施中马钦州产业园区管委</v>
      </c>
      <c r="BJ126" s="204">
        <f t="shared" si="210"/>
        <v>0</v>
      </c>
      <c r="BK126" s="157" t="str">
        <f t="shared" si="211"/>
        <v>园区基础设施路网工程1000</v>
      </c>
      <c r="BL126" s="157" t="str">
        <f t="shared" si="212"/>
        <v>园区基础设施路网工程2000</v>
      </c>
      <c r="BM126" s="157" t="str">
        <f t="shared" si="213"/>
        <v>园区基础设施路网工程5000</v>
      </c>
      <c r="BN126" s="157"/>
      <c r="BO126" s="157">
        <f t="shared" si="214"/>
        <v>1</v>
      </c>
      <c r="BP126" s="157">
        <f t="shared" si="215"/>
        <v>0</v>
      </c>
      <c r="BQ126" s="157">
        <f t="shared" si="216"/>
        <v>0</v>
      </c>
      <c r="BR126" s="157">
        <f t="shared" si="217"/>
        <v>0</v>
      </c>
      <c r="BS126" s="157">
        <f t="shared" si="218"/>
        <v>1</v>
      </c>
      <c r="BT126" s="181"/>
      <c r="BU126" s="206"/>
      <c r="BW126" s="7"/>
      <c r="BX126" s="7"/>
      <c r="BY126" s="7"/>
      <c r="BZ126" s="7"/>
      <c r="CA126" s="7"/>
    </row>
    <row r="127" s="9" customFormat="1" ht="61.5" customHeight="1" spans="1:72">
      <c r="A127" s="23">
        <f>SUBTOTAL(3,C$7:C127)</f>
        <v>95</v>
      </c>
      <c r="B127" s="55" t="s">
        <v>1467</v>
      </c>
      <c r="C127" s="35" t="s">
        <v>562</v>
      </c>
      <c r="D127" s="55" t="s">
        <v>1468</v>
      </c>
      <c r="E127" s="35" t="s">
        <v>575</v>
      </c>
      <c r="F127" s="38">
        <v>8040</v>
      </c>
      <c r="G127" s="38">
        <v>2300</v>
      </c>
      <c r="H127" s="112" t="s">
        <v>1465</v>
      </c>
      <c r="I127" s="76">
        <v>600</v>
      </c>
      <c r="J127" s="76">
        <v>1400</v>
      </c>
      <c r="K127" s="76">
        <v>1800</v>
      </c>
      <c r="L127" s="38">
        <v>2000</v>
      </c>
      <c r="M127" s="38"/>
      <c r="N127" s="134"/>
      <c r="O127" s="134"/>
      <c r="P127" s="90" t="s">
        <v>2430</v>
      </c>
      <c r="Q127" s="90" t="s">
        <v>2429</v>
      </c>
      <c r="R127" s="132">
        <v>67</v>
      </c>
      <c r="S127" s="132">
        <v>67</v>
      </c>
      <c r="T127" s="132"/>
      <c r="U127" s="132"/>
      <c r="V127" s="132"/>
      <c r="W127" s="132"/>
      <c r="X127" s="132"/>
      <c r="Y127" s="132"/>
      <c r="Z127" s="132"/>
      <c r="AA127" s="132">
        <v>27</v>
      </c>
      <c r="AB127" s="132">
        <v>26</v>
      </c>
      <c r="AC127" s="132">
        <v>1</v>
      </c>
      <c r="AD127" s="132">
        <v>2000</v>
      </c>
      <c r="AE127" s="132"/>
      <c r="AF127" s="132"/>
      <c r="AG127" s="132"/>
      <c r="AH127" s="132">
        <v>2000</v>
      </c>
      <c r="AI127" s="90"/>
      <c r="AJ127" s="90" t="s">
        <v>1469</v>
      </c>
      <c r="AK127" s="34" t="s">
        <v>1416</v>
      </c>
      <c r="AL127" s="35" t="s">
        <v>1914</v>
      </c>
      <c r="AM127" s="67" t="s">
        <v>185</v>
      </c>
      <c r="AN127" s="270" t="s">
        <v>1470</v>
      </c>
      <c r="AO127" s="165"/>
      <c r="AP127" s="161" t="s">
        <v>2020</v>
      </c>
      <c r="AQ127" s="161" t="s">
        <v>2061</v>
      </c>
      <c r="AR127" s="158" t="str">
        <f t="shared" si="207"/>
        <v>园区基础设施路网工程</v>
      </c>
      <c r="AS127" s="158" t="s">
        <v>2021</v>
      </c>
      <c r="AT127" s="158"/>
      <c r="AU127" s="165"/>
      <c r="AV127" s="169"/>
      <c r="AW127" s="165"/>
      <c r="AX127" s="165"/>
      <c r="AY127" s="165"/>
      <c r="AZ127" s="165"/>
      <c r="BA127" s="165"/>
      <c r="BB127" s="169"/>
      <c r="BC127" s="169"/>
      <c r="BD127" s="169"/>
      <c r="BE127" s="165"/>
      <c r="BF127" s="157" t="s">
        <v>205</v>
      </c>
      <c r="BG127" s="203" t="s">
        <v>1980</v>
      </c>
      <c r="BH127" s="201" t="str">
        <f t="shared" si="208"/>
        <v>政府中马钦州产业园区管委</v>
      </c>
      <c r="BI127" s="201" t="str">
        <f t="shared" si="209"/>
        <v>基础设施中马钦州产业园区管委</v>
      </c>
      <c r="BK127" s="201"/>
      <c r="BL127" s="201"/>
      <c r="BM127" s="201"/>
      <c r="BN127" s="201"/>
      <c r="BO127" s="157">
        <f t="shared" si="214"/>
        <v>1</v>
      </c>
      <c r="BP127" s="157">
        <f t="shared" si="215"/>
        <v>0</v>
      </c>
      <c r="BQ127" s="157">
        <f t="shared" si="216"/>
        <v>0</v>
      </c>
      <c r="BR127" s="157">
        <f t="shared" si="217"/>
        <v>1</v>
      </c>
      <c r="BS127" s="157">
        <f t="shared" si="218"/>
        <v>1</v>
      </c>
      <c r="BT127" s="181"/>
    </row>
    <row r="128" ht="56.25" customHeight="1" spans="1:79">
      <c r="A128" s="23">
        <f>SUBTOTAL(3,C$7:C128)</f>
        <v>96</v>
      </c>
      <c r="B128" s="55" t="s">
        <v>1471</v>
      </c>
      <c r="C128" s="35" t="s">
        <v>562</v>
      </c>
      <c r="D128" s="55" t="s">
        <v>1472</v>
      </c>
      <c r="E128" s="35" t="s">
        <v>575</v>
      </c>
      <c r="F128" s="38">
        <v>7475</v>
      </c>
      <c r="G128" s="38">
        <v>1300</v>
      </c>
      <c r="H128" s="112" t="s">
        <v>1473</v>
      </c>
      <c r="I128" s="76">
        <v>300</v>
      </c>
      <c r="J128" s="76">
        <v>800</v>
      </c>
      <c r="K128" s="76">
        <v>1600</v>
      </c>
      <c r="L128" s="38">
        <v>2200</v>
      </c>
      <c r="M128" s="38"/>
      <c r="N128" s="67"/>
      <c r="O128" s="67"/>
      <c r="P128" s="90" t="s">
        <v>284</v>
      </c>
      <c r="Q128" s="137" t="s">
        <v>117</v>
      </c>
      <c r="R128" s="115">
        <v>66</v>
      </c>
      <c r="S128" s="115">
        <v>66</v>
      </c>
      <c r="T128" s="115"/>
      <c r="U128" s="115"/>
      <c r="V128" s="115"/>
      <c r="W128" s="115"/>
      <c r="X128" s="115"/>
      <c r="Y128" s="115"/>
      <c r="Z128" s="115"/>
      <c r="AA128" s="115"/>
      <c r="AB128" s="115"/>
      <c r="AC128" s="115"/>
      <c r="AD128" s="115">
        <v>4000</v>
      </c>
      <c r="AE128" s="115"/>
      <c r="AF128" s="115"/>
      <c r="AG128" s="115"/>
      <c r="AH128" s="115">
        <v>4000</v>
      </c>
      <c r="AI128" s="90"/>
      <c r="AJ128" s="90" t="s">
        <v>117</v>
      </c>
      <c r="AK128" s="34" t="s">
        <v>1416</v>
      </c>
      <c r="AL128" s="35" t="s">
        <v>1914</v>
      </c>
      <c r="AM128" s="67" t="s">
        <v>185</v>
      </c>
      <c r="AN128" s="91"/>
      <c r="AO128" s="157"/>
      <c r="AP128" s="161" t="s">
        <v>2020</v>
      </c>
      <c r="AQ128" s="161" t="s">
        <v>2061</v>
      </c>
      <c r="AR128" s="158" t="str">
        <f t="shared" si="207"/>
        <v>园区基础设施路网工程</v>
      </c>
      <c r="AS128" s="158" t="s">
        <v>2021</v>
      </c>
      <c r="AT128" s="158"/>
      <c r="AU128" s="157"/>
      <c r="AV128" s="272"/>
      <c r="AW128" s="160"/>
      <c r="AX128" s="157"/>
      <c r="AY128" s="157"/>
      <c r="AZ128" s="157"/>
      <c r="BA128" s="157"/>
      <c r="BB128" s="157"/>
      <c r="BC128" s="157"/>
      <c r="BD128" s="157"/>
      <c r="BE128" s="157"/>
      <c r="BF128" s="157" t="s">
        <v>205</v>
      </c>
      <c r="BG128" s="203" t="s">
        <v>1980</v>
      </c>
      <c r="BH128" s="201" t="str">
        <f t="shared" si="208"/>
        <v>政府中马钦州产业园区管委</v>
      </c>
      <c r="BI128" s="201" t="str">
        <f t="shared" si="209"/>
        <v>基础设施中马钦州产业园区管委</v>
      </c>
      <c r="BJ128" s="204">
        <f t="shared" ref="BJ128:BJ132" si="219">IF(N128&gt;0,1,0)</f>
        <v>0</v>
      </c>
      <c r="BK128" s="157" t="str">
        <f t="shared" ref="BK128:BK132" si="220">IF(L128&lt;1000,"",AR128&amp;"1000")</f>
        <v>园区基础设施路网工程1000</v>
      </c>
      <c r="BL128" s="157" t="str">
        <f t="shared" ref="BL128:BL132" si="221">IF(L128&lt;2000,"",AR128&amp;"2000")</f>
        <v>园区基础设施路网工程2000</v>
      </c>
      <c r="BM128" s="157" t="str">
        <f t="shared" ref="BM128:BM132" si="222">IF(L128&lt;5000,"",AR128&amp;"5000")</f>
        <v/>
      </c>
      <c r="BN128" s="157"/>
      <c r="BO128" s="157">
        <f t="shared" si="214"/>
        <v>1</v>
      </c>
      <c r="BP128" s="157">
        <f t="shared" si="215"/>
        <v>0</v>
      </c>
      <c r="BQ128" s="157">
        <f t="shared" si="216"/>
        <v>0</v>
      </c>
      <c r="BR128" s="157">
        <f t="shared" si="217"/>
        <v>0</v>
      </c>
      <c r="BS128" s="157">
        <f t="shared" si="218"/>
        <v>1</v>
      </c>
      <c r="BT128" s="181"/>
      <c r="BU128" s="206"/>
      <c r="BW128" s="7"/>
      <c r="BX128" s="7"/>
      <c r="BY128" s="7"/>
      <c r="BZ128" s="7"/>
      <c r="CA128" s="7"/>
    </row>
    <row r="129" s="9" customFormat="1" ht="81.75" customHeight="1" spans="1:79">
      <c r="A129" s="23">
        <f>SUBTOTAL(3,C$7:C129)</f>
        <v>97</v>
      </c>
      <c r="B129" s="54" t="s">
        <v>1024</v>
      </c>
      <c r="C129" s="67" t="s">
        <v>562</v>
      </c>
      <c r="D129" s="54" t="s">
        <v>1025</v>
      </c>
      <c r="E129" s="67" t="s">
        <v>1026</v>
      </c>
      <c r="F129" s="67">
        <v>15110</v>
      </c>
      <c r="G129" s="67">
        <v>4256</v>
      </c>
      <c r="H129" s="123" t="s">
        <v>1027</v>
      </c>
      <c r="I129" s="67">
        <v>500</v>
      </c>
      <c r="J129" s="67">
        <v>1000</v>
      </c>
      <c r="K129" s="67">
        <v>1500</v>
      </c>
      <c r="L129" s="67">
        <v>2000</v>
      </c>
      <c r="M129" s="67"/>
      <c r="N129" s="50"/>
      <c r="O129" s="67"/>
      <c r="P129" s="54" t="s">
        <v>2431</v>
      </c>
      <c r="Q129" s="54" t="s">
        <v>2432</v>
      </c>
      <c r="R129" s="134">
        <v>259</v>
      </c>
      <c r="S129" s="134">
        <v>151</v>
      </c>
      <c r="T129" s="134">
        <v>107.57</v>
      </c>
      <c r="U129" s="134">
        <v>17.526</v>
      </c>
      <c r="V129" s="134">
        <v>17.526</v>
      </c>
      <c r="W129" s="134"/>
      <c r="X129" s="134"/>
      <c r="Y129" s="134"/>
      <c r="Z129" s="134"/>
      <c r="AA129" s="134">
        <v>300</v>
      </c>
      <c r="AB129" s="134">
        <v>200</v>
      </c>
      <c r="AC129" s="134">
        <v>100</v>
      </c>
      <c r="AD129" s="134">
        <v>2000</v>
      </c>
      <c r="AE129" s="134"/>
      <c r="AF129" s="134"/>
      <c r="AG129" s="134"/>
      <c r="AH129" s="134">
        <v>2000</v>
      </c>
      <c r="AI129" s="90"/>
      <c r="AJ129" s="90" t="s">
        <v>1028</v>
      </c>
      <c r="AK129" s="123" t="s">
        <v>455</v>
      </c>
      <c r="AL129" s="67" t="s">
        <v>2394</v>
      </c>
      <c r="AM129" s="67" t="s">
        <v>240</v>
      </c>
      <c r="AN129" s="91"/>
      <c r="AO129" s="157"/>
      <c r="AP129" s="161" t="s">
        <v>2020</v>
      </c>
      <c r="AQ129" s="161" t="s">
        <v>2061</v>
      </c>
      <c r="AR129" s="158" t="str">
        <f t="shared" si="207"/>
        <v>园区基础设施路网工程</v>
      </c>
      <c r="AS129" s="158" t="s">
        <v>2021</v>
      </c>
      <c r="AT129" s="158"/>
      <c r="AU129" s="161"/>
      <c r="AV129" s="161"/>
      <c r="AW129" s="160"/>
      <c r="AX129" s="157"/>
      <c r="AY129" s="157"/>
      <c r="AZ129" s="157"/>
      <c r="BA129" s="157"/>
      <c r="BB129" s="157"/>
      <c r="BC129" s="157"/>
      <c r="BD129" s="157"/>
      <c r="BE129" s="157"/>
      <c r="BF129" s="202" t="s">
        <v>205</v>
      </c>
      <c r="BG129" s="203" t="s">
        <v>1980</v>
      </c>
      <c r="BH129" s="201" t="str">
        <f t="shared" si="208"/>
        <v>政府钦州高新区管委</v>
      </c>
      <c r="BI129" s="201" t="str">
        <f t="shared" si="209"/>
        <v>基础设施钦州高新区管委</v>
      </c>
      <c r="BJ129" s="204">
        <f t="shared" si="219"/>
        <v>0</v>
      </c>
      <c r="BK129" s="157" t="str">
        <f t="shared" si="220"/>
        <v>园区基础设施路网工程1000</v>
      </c>
      <c r="BL129" s="157" t="str">
        <f t="shared" si="221"/>
        <v>园区基础设施路网工程2000</v>
      </c>
      <c r="BM129" s="157" t="str">
        <f t="shared" si="222"/>
        <v/>
      </c>
      <c r="BN129" s="157"/>
      <c r="BO129" s="157">
        <f t="shared" si="214"/>
        <v>1</v>
      </c>
      <c r="BP129" s="157">
        <f t="shared" si="215"/>
        <v>0</v>
      </c>
      <c r="BQ129" s="157">
        <f t="shared" si="216"/>
        <v>1</v>
      </c>
      <c r="BR129" s="157">
        <f t="shared" si="217"/>
        <v>1</v>
      </c>
      <c r="BS129" s="157">
        <f t="shared" si="218"/>
        <v>1</v>
      </c>
      <c r="BT129" s="181"/>
      <c r="BU129" s="206"/>
      <c r="BW129" s="206"/>
      <c r="BX129" s="224"/>
      <c r="BY129" s="206"/>
      <c r="BZ129" s="206"/>
      <c r="CA129" s="206"/>
    </row>
    <row r="130" s="9" customFormat="1" ht="81.75" customHeight="1" spans="1:79">
      <c r="A130" s="23">
        <f>SUBTOTAL(3,C$7:C130)</f>
        <v>98</v>
      </c>
      <c r="B130" s="54" t="s">
        <v>1482</v>
      </c>
      <c r="C130" s="67" t="s">
        <v>562</v>
      </c>
      <c r="D130" s="54" t="s">
        <v>1483</v>
      </c>
      <c r="E130" s="67" t="s">
        <v>1484</v>
      </c>
      <c r="F130" s="67">
        <v>6480</v>
      </c>
      <c r="G130" s="67">
        <v>1168</v>
      </c>
      <c r="H130" s="123" t="s">
        <v>1485</v>
      </c>
      <c r="I130" s="67">
        <v>500</v>
      </c>
      <c r="J130" s="67">
        <v>1000</v>
      </c>
      <c r="K130" s="67">
        <v>1500</v>
      </c>
      <c r="L130" s="67">
        <v>1700</v>
      </c>
      <c r="M130" s="67"/>
      <c r="N130" s="50"/>
      <c r="O130" s="67"/>
      <c r="P130" s="54" t="s">
        <v>2433</v>
      </c>
      <c r="Q130" s="54" t="s">
        <v>2434</v>
      </c>
      <c r="R130" s="134">
        <v>34</v>
      </c>
      <c r="S130" s="134"/>
      <c r="T130" s="134">
        <v>33.57</v>
      </c>
      <c r="U130" s="134">
        <v>1.0635</v>
      </c>
      <c r="V130" s="134">
        <v>1.0635</v>
      </c>
      <c r="W130" s="134"/>
      <c r="X130" s="134"/>
      <c r="Y130" s="134"/>
      <c r="Z130" s="134"/>
      <c r="AA130" s="134">
        <v>75</v>
      </c>
      <c r="AB130" s="134">
        <v>25</v>
      </c>
      <c r="AC130" s="134">
        <v>50</v>
      </c>
      <c r="AD130" s="134">
        <v>1700</v>
      </c>
      <c r="AE130" s="134"/>
      <c r="AF130" s="134"/>
      <c r="AG130" s="134"/>
      <c r="AH130" s="134">
        <v>1700</v>
      </c>
      <c r="AI130" s="90"/>
      <c r="AJ130" s="90" t="s">
        <v>1486</v>
      </c>
      <c r="AK130" s="123" t="s">
        <v>455</v>
      </c>
      <c r="AL130" s="67" t="s">
        <v>2394</v>
      </c>
      <c r="AM130" s="67" t="s">
        <v>240</v>
      </c>
      <c r="AN130" s="91"/>
      <c r="AO130" s="157"/>
      <c r="AP130" s="161" t="s">
        <v>2020</v>
      </c>
      <c r="AQ130" s="161" t="s">
        <v>2061</v>
      </c>
      <c r="AR130" s="158" t="str">
        <f t="shared" si="207"/>
        <v>园区基础设施路网工程</v>
      </c>
      <c r="AS130" s="158" t="s">
        <v>2021</v>
      </c>
      <c r="AT130" s="158"/>
      <c r="AU130" s="161"/>
      <c r="AV130" s="161"/>
      <c r="AW130" s="160"/>
      <c r="AX130" s="157"/>
      <c r="AY130" s="157"/>
      <c r="AZ130" s="157"/>
      <c r="BA130" s="157"/>
      <c r="BB130" s="157"/>
      <c r="BC130" s="157"/>
      <c r="BD130" s="157"/>
      <c r="BE130" s="157"/>
      <c r="BF130" s="202" t="s">
        <v>205</v>
      </c>
      <c r="BG130" s="203" t="s">
        <v>1980</v>
      </c>
      <c r="BH130" s="201" t="str">
        <f t="shared" si="208"/>
        <v>政府钦州高新区管委</v>
      </c>
      <c r="BI130" s="201" t="str">
        <f t="shared" si="209"/>
        <v>基础设施钦州高新区管委</v>
      </c>
      <c r="BJ130" s="204">
        <f t="shared" si="219"/>
        <v>0</v>
      </c>
      <c r="BK130" s="157" t="str">
        <f t="shared" si="220"/>
        <v>园区基础设施路网工程1000</v>
      </c>
      <c r="BL130" s="157" t="str">
        <f t="shared" si="221"/>
        <v/>
      </c>
      <c r="BM130" s="157" t="str">
        <f t="shared" si="222"/>
        <v/>
      </c>
      <c r="BN130" s="157"/>
      <c r="BO130" s="157">
        <f t="shared" si="214"/>
        <v>1</v>
      </c>
      <c r="BP130" s="157">
        <f t="shared" si="215"/>
        <v>0</v>
      </c>
      <c r="BQ130" s="157">
        <f t="shared" si="216"/>
        <v>1</v>
      </c>
      <c r="BR130" s="157">
        <f t="shared" si="217"/>
        <v>1</v>
      </c>
      <c r="BS130" s="157">
        <f t="shared" si="218"/>
        <v>1</v>
      </c>
      <c r="BT130" s="181"/>
      <c r="BU130" s="206"/>
      <c r="BW130" s="206"/>
      <c r="BX130" s="224"/>
      <c r="BY130" s="206"/>
      <c r="BZ130" s="206"/>
      <c r="CA130" s="206"/>
    </row>
    <row r="131" ht="69" customHeight="1" spans="1:73">
      <c r="A131" s="23">
        <f>SUBTOTAL(3,C$7:C131)</f>
        <v>99</v>
      </c>
      <c r="B131" s="55" t="s">
        <v>1510</v>
      </c>
      <c r="C131" s="35" t="s">
        <v>562</v>
      </c>
      <c r="D131" s="232" t="s">
        <v>1511</v>
      </c>
      <c r="E131" s="35" t="s">
        <v>575</v>
      </c>
      <c r="F131" s="35">
        <v>8803</v>
      </c>
      <c r="G131" s="35">
        <v>500</v>
      </c>
      <c r="H131" s="123" t="s">
        <v>1512</v>
      </c>
      <c r="I131" s="67">
        <v>500</v>
      </c>
      <c r="J131" s="67">
        <v>1300</v>
      </c>
      <c r="K131" s="67">
        <v>2100</v>
      </c>
      <c r="L131" s="35">
        <v>3000</v>
      </c>
      <c r="M131" s="35"/>
      <c r="N131" s="111"/>
      <c r="O131" s="67"/>
      <c r="P131" s="55" t="s">
        <v>2435</v>
      </c>
      <c r="Q131" s="90" t="s">
        <v>1513</v>
      </c>
      <c r="R131" s="132">
        <v>224.25</v>
      </c>
      <c r="S131" s="132"/>
      <c r="T131" s="132">
        <v>224.25</v>
      </c>
      <c r="U131" s="132"/>
      <c r="V131" s="132"/>
      <c r="W131" s="132"/>
      <c r="X131" s="132"/>
      <c r="Y131" s="132"/>
      <c r="Z131" s="132"/>
      <c r="AA131" s="132"/>
      <c r="AB131" s="132"/>
      <c r="AC131" s="132"/>
      <c r="AD131" s="132">
        <v>3000</v>
      </c>
      <c r="AE131" s="132"/>
      <c r="AF131" s="132"/>
      <c r="AG131" s="132"/>
      <c r="AH131" s="132">
        <v>3000</v>
      </c>
      <c r="AI131" s="90"/>
      <c r="AJ131" s="90" t="s">
        <v>1513</v>
      </c>
      <c r="AK131" s="34" t="s">
        <v>785</v>
      </c>
      <c r="AL131" s="67" t="s">
        <v>2038</v>
      </c>
      <c r="AM131" s="35" t="s">
        <v>317</v>
      </c>
      <c r="AN131" s="91"/>
      <c r="AO131" s="157"/>
      <c r="AP131" s="161" t="s">
        <v>2020</v>
      </c>
      <c r="AQ131" s="158" t="s">
        <v>2061</v>
      </c>
      <c r="AR131" s="158" t="str">
        <f t="shared" si="207"/>
        <v>园区基础设施路网工程</v>
      </c>
      <c r="AS131" s="158" t="s">
        <v>2021</v>
      </c>
      <c r="AT131" s="158"/>
      <c r="AU131" s="157"/>
      <c r="AV131" s="159"/>
      <c r="AW131" s="160"/>
      <c r="AX131" s="157"/>
      <c r="AY131" s="157"/>
      <c r="AZ131" s="157"/>
      <c r="BA131" s="157"/>
      <c r="BB131" s="157"/>
      <c r="BC131" s="157"/>
      <c r="BD131" s="157"/>
      <c r="BE131" s="157"/>
      <c r="BF131" s="201" t="s">
        <v>205</v>
      </c>
      <c r="BG131" s="203" t="s">
        <v>1980</v>
      </c>
      <c r="BH131" s="201" t="str">
        <f t="shared" si="208"/>
        <v>政府浦北县人民政府</v>
      </c>
      <c r="BI131" s="201" t="str">
        <f t="shared" si="209"/>
        <v>基础设施浦北县人民政府</v>
      </c>
      <c r="BJ131" s="204">
        <f t="shared" si="219"/>
        <v>0</v>
      </c>
      <c r="BK131" s="157" t="str">
        <f t="shared" si="220"/>
        <v>园区基础设施路网工程1000</v>
      </c>
      <c r="BL131" s="157" t="str">
        <f t="shared" si="221"/>
        <v>园区基础设施路网工程2000</v>
      </c>
      <c r="BM131" s="157" t="str">
        <f t="shared" si="222"/>
        <v/>
      </c>
      <c r="BN131" s="157"/>
      <c r="BO131" s="157">
        <f t="shared" si="214"/>
        <v>1</v>
      </c>
      <c r="BP131" s="157">
        <f t="shared" si="215"/>
        <v>0</v>
      </c>
      <c r="BQ131" s="157">
        <f t="shared" si="216"/>
        <v>0</v>
      </c>
      <c r="BR131" s="157">
        <f t="shared" si="217"/>
        <v>0</v>
      </c>
      <c r="BS131" s="157">
        <f t="shared" si="218"/>
        <v>1</v>
      </c>
      <c r="BT131" s="181"/>
      <c r="BU131" s="206"/>
    </row>
    <row r="132" ht="71.45" customHeight="1" spans="1:85">
      <c r="A132" s="23">
        <f>SUBTOTAL(3,C$7:C132)</f>
        <v>100</v>
      </c>
      <c r="B132" s="55" t="s">
        <v>1514</v>
      </c>
      <c r="C132" s="35" t="s">
        <v>562</v>
      </c>
      <c r="D132" s="55" t="s">
        <v>1515</v>
      </c>
      <c r="E132" s="35" t="s">
        <v>575</v>
      </c>
      <c r="F132" s="127">
        <v>6632</v>
      </c>
      <c r="G132" s="35">
        <v>3200</v>
      </c>
      <c r="H132" s="123" t="s">
        <v>1516</v>
      </c>
      <c r="I132" s="67">
        <v>500</v>
      </c>
      <c r="J132" s="67">
        <v>1000</v>
      </c>
      <c r="K132" s="67">
        <v>1500</v>
      </c>
      <c r="L132" s="35">
        <v>2000</v>
      </c>
      <c r="M132" s="35"/>
      <c r="N132" s="111"/>
      <c r="O132" s="67"/>
      <c r="P132" s="55" t="s">
        <v>2436</v>
      </c>
      <c r="Q132" s="90" t="s">
        <v>2437</v>
      </c>
      <c r="R132" s="134">
        <v>15</v>
      </c>
      <c r="S132" s="134">
        <v>9</v>
      </c>
      <c r="T132" s="134">
        <v>6</v>
      </c>
      <c r="U132" s="134">
        <v>0</v>
      </c>
      <c r="V132" s="134">
        <v>0</v>
      </c>
      <c r="W132" s="134">
        <v>0</v>
      </c>
      <c r="X132" s="134">
        <v>0</v>
      </c>
      <c r="Y132" s="99">
        <v>0</v>
      </c>
      <c r="Z132" s="99">
        <v>0</v>
      </c>
      <c r="AA132" s="330">
        <v>15</v>
      </c>
      <c r="AB132" s="330">
        <v>9</v>
      </c>
      <c r="AC132" s="330">
        <v>6</v>
      </c>
      <c r="AD132" s="552">
        <v>0</v>
      </c>
      <c r="AE132" s="165">
        <v>0</v>
      </c>
      <c r="AF132" s="729">
        <v>0</v>
      </c>
      <c r="AG132" s="733">
        <v>3632</v>
      </c>
      <c r="AH132" s="733">
        <v>3000</v>
      </c>
      <c r="AI132" s="90"/>
      <c r="AJ132" s="90" t="s">
        <v>117</v>
      </c>
      <c r="AK132" s="34" t="s">
        <v>2438</v>
      </c>
      <c r="AL132" s="35" t="s">
        <v>2439</v>
      </c>
      <c r="AM132" s="35" t="s">
        <v>317</v>
      </c>
      <c r="AN132" s="91"/>
      <c r="AO132" s="157"/>
      <c r="AP132" s="161" t="s">
        <v>2020</v>
      </c>
      <c r="AQ132" s="158" t="s">
        <v>2061</v>
      </c>
      <c r="AR132" s="158" t="str">
        <f t="shared" si="207"/>
        <v>园区基础设施路网工程</v>
      </c>
      <c r="AS132" s="158" t="s">
        <v>2021</v>
      </c>
      <c r="AT132" s="158"/>
      <c r="AU132" s="157"/>
      <c r="AV132" s="159"/>
      <c r="AW132" s="160"/>
      <c r="AX132" s="157"/>
      <c r="AY132" s="157"/>
      <c r="AZ132" s="157"/>
      <c r="BA132" s="157"/>
      <c r="BB132" s="157"/>
      <c r="BC132" s="157"/>
      <c r="BD132" s="157"/>
      <c r="BE132" s="157"/>
      <c r="BF132" s="201" t="s">
        <v>205</v>
      </c>
      <c r="BG132" s="203" t="s">
        <v>1980</v>
      </c>
      <c r="BH132" s="201" t="str">
        <f t="shared" si="208"/>
        <v>政府浦北县人民政府</v>
      </c>
      <c r="BI132" s="201" t="str">
        <f t="shared" si="209"/>
        <v>基础设施浦北县人民政府</v>
      </c>
      <c r="BJ132" s="204">
        <f t="shared" si="219"/>
        <v>0</v>
      </c>
      <c r="BK132" s="157" t="str">
        <f t="shared" si="220"/>
        <v>园区基础设施路网工程1000</v>
      </c>
      <c r="BL132" s="157" t="str">
        <f t="shared" si="221"/>
        <v>园区基础设施路网工程2000</v>
      </c>
      <c r="BM132" s="157" t="str">
        <f t="shared" si="222"/>
        <v/>
      </c>
      <c r="BN132" s="157"/>
      <c r="BO132" s="157">
        <f t="shared" si="214"/>
        <v>1</v>
      </c>
      <c r="BP132" s="157">
        <f t="shared" si="215"/>
        <v>0</v>
      </c>
      <c r="BQ132" s="157">
        <f t="shared" si="216"/>
        <v>0</v>
      </c>
      <c r="BR132" s="157">
        <f t="shared" si="217"/>
        <v>1</v>
      </c>
      <c r="BS132" s="157">
        <f t="shared" si="218"/>
        <v>0</v>
      </c>
      <c r="BT132" s="181"/>
      <c r="BU132" s="206"/>
      <c r="CB132" s="4"/>
      <c r="CC132" s="4"/>
      <c r="CD132" s="4"/>
      <c r="CE132" s="4"/>
      <c r="CF132" s="4"/>
      <c r="CG132" s="4"/>
    </row>
    <row r="133" ht="71.45" customHeight="1" spans="1:85">
      <c r="A133" s="23">
        <f>SUBTOTAL(3,C$7:C133)</f>
        <v>101</v>
      </c>
      <c r="B133" s="55" t="s">
        <v>1518</v>
      </c>
      <c r="C133" s="35" t="s">
        <v>562</v>
      </c>
      <c r="D133" s="55" t="s">
        <v>1519</v>
      </c>
      <c r="E133" s="35" t="s">
        <v>575</v>
      </c>
      <c r="F133" s="127">
        <v>5804</v>
      </c>
      <c r="G133" s="35">
        <v>3300</v>
      </c>
      <c r="H133" s="123" t="s">
        <v>1520</v>
      </c>
      <c r="I133" s="67">
        <v>500</v>
      </c>
      <c r="J133" s="67">
        <v>1000</v>
      </c>
      <c r="K133" s="67">
        <v>1500</v>
      </c>
      <c r="L133" s="35">
        <v>1500</v>
      </c>
      <c r="M133" s="35"/>
      <c r="N133" s="111"/>
      <c r="O133" s="67"/>
      <c r="P133" s="55" t="s">
        <v>2440</v>
      </c>
      <c r="Q133" s="90" t="s">
        <v>453</v>
      </c>
      <c r="R133" s="132">
        <v>9</v>
      </c>
      <c r="S133" s="132">
        <v>6</v>
      </c>
      <c r="T133" s="132">
        <v>3</v>
      </c>
      <c r="U133" s="132">
        <v>0</v>
      </c>
      <c r="V133" s="132">
        <v>0</v>
      </c>
      <c r="W133" s="132">
        <v>0</v>
      </c>
      <c r="X133" s="132">
        <v>0</v>
      </c>
      <c r="Y133" s="99">
        <v>0</v>
      </c>
      <c r="Z133" s="99">
        <v>0</v>
      </c>
      <c r="AA133" s="330">
        <v>9</v>
      </c>
      <c r="AB133" s="330">
        <v>6</v>
      </c>
      <c r="AC133" s="330">
        <v>3</v>
      </c>
      <c r="AD133" s="552">
        <v>0</v>
      </c>
      <c r="AE133" s="330">
        <v>0</v>
      </c>
      <c r="AF133" s="730">
        <v>0</v>
      </c>
      <c r="AG133" s="552">
        <v>3804</v>
      </c>
      <c r="AH133" s="552">
        <v>2000</v>
      </c>
      <c r="AI133" s="90"/>
      <c r="AJ133" s="90" t="s">
        <v>117</v>
      </c>
      <c r="AK133" s="34" t="s">
        <v>2438</v>
      </c>
      <c r="AL133" s="35" t="s">
        <v>2439</v>
      </c>
      <c r="AM133" s="35" t="s">
        <v>317</v>
      </c>
      <c r="AN133" s="91"/>
      <c r="AO133" s="157"/>
      <c r="AP133" s="161" t="s">
        <v>2020</v>
      </c>
      <c r="AQ133" s="158" t="s">
        <v>2061</v>
      </c>
      <c r="AR133" s="158" t="str">
        <f t="shared" si="207"/>
        <v>园区基础设施路网工程</v>
      </c>
      <c r="AS133" s="158" t="s">
        <v>2021</v>
      </c>
      <c r="AT133" s="158"/>
      <c r="AU133" s="157"/>
      <c r="AV133" s="159"/>
      <c r="AW133" s="160"/>
      <c r="AX133" s="157"/>
      <c r="AY133" s="157"/>
      <c r="AZ133" s="157"/>
      <c r="BA133" s="157"/>
      <c r="BB133" s="157"/>
      <c r="BC133" s="157"/>
      <c r="BD133" s="157"/>
      <c r="BE133" s="157"/>
      <c r="BF133" s="201" t="s">
        <v>205</v>
      </c>
      <c r="BG133" s="203" t="s">
        <v>1980</v>
      </c>
      <c r="BH133" s="201" t="str">
        <f t="shared" si="208"/>
        <v>政府浦北县人民政府</v>
      </c>
      <c r="BI133" s="201" t="str">
        <f t="shared" si="209"/>
        <v>基础设施浦北县人民政府</v>
      </c>
      <c r="BK133" s="157"/>
      <c r="BL133" s="157"/>
      <c r="BM133" s="157"/>
      <c r="BN133" s="157"/>
      <c r="BO133" s="157">
        <f t="shared" si="214"/>
        <v>1</v>
      </c>
      <c r="BP133" s="157">
        <f t="shared" si="215"/>
        <v>0</v>
      </c>
      <c r="BQ133" s="157">
        <f t="shared" si="216"/>
        <v>0</v>
      </c>
      <c r="BR133" s="157">
        <f t="shared" si="217"/>
        <v>1</v>
      </c>
      <c r="BS133" s="157">
        <f t="shared" si="218"/>
        <v>0</v>
      </c>
      <c r="BT133" s="181"/>
      <c r="BU133" s="206"/>
      <c r="CB133" s="4"/>
      <c r="CC133" s="4"/>
      <c r="CD133" s="4"/>
      <c r="CE133" s="4"/>
      <c r="CF133" s="4"/>
      <c r="CG133" s="4"/>
    </row>
    <row r="134" s="9" customFormat="1" ht="30" customHeight="1" spans="1:72">
      <c r="A134" s="551"/>
      <c r="B134" s="557" t="str">
        <f>"供水工程（"&amp;SUBTOTAL(3,C135:C135)&amp;"个）"</f>
        <v>供水工程（1个）</v>
      </c>
      <c r="C134" s="551"/>
      <c r="D134" s="55"/>
      <c r="E134" s="551"/>
      <c r="F134" s="134">
        <f t="shared" ref="F134:M134" si="223">SUBTOTAL(9,F135:F135)</f>
        <v>20000</v>
      </c>
      <c r="G134" s="134">
        <f t="shared" si="223"/>
        <v>5000</v>
      </c>
      <c r="H134" s="134"/>
      <c r="I134" s="134">
        <f t="shared" si="223"/>
        <v>400</v>
      </c>
      <c r="J134" s="134">
        <f t="shared" si="223"/>
        <v>800</v>
      </c>
      <c r="K134" s="134">
        <f t="shared" si="223"/>
        <v>1100</v>
      </c>
      <c r="L134" s="134">
        <f t="shared" si="223"/>
        <v>1500</v>
      </c>
      <c r="M134" s="134">
        <f t="shared" si="223"/>
        <v>0</v>
      </c>
      <c r="N134" s="134"/>
      <c r="O134" s="134"/>
      <c r="P134" s="90"/>
      <c r="Q134" s="90"/>
      <c r="R134" s="132"/>
      <c r="S134" s="132"/>
      <c r="T134" s="132"/>
      <c r="U134" s="132"/>
      <c r="V134" s="132"/>
      <c r="W134" s="132"/>
      <c r="X134" s="132"/>
      <c r="Y134" s="132"/>
      <c r="Z134" s="132"/>
      <c r="AA134" s="132"/>
      <c r="AB134" s="132"/>
      <c r="AC134" s="132"/>
      <c r="AD134" s="132"/>
      <c r="AE134" s="132"/>
      <c r="AF134" s="132"/>
      <c r="AG134" s="132"/>
      <c r="AH134" s="132"/>
      <c r="AI134" s="90"/>
      <c r="AJ134" s="90"/>
      <c r="AK134" s="591"/>
      <c r="AL134" s="134"/>
      <c r="AM134" s="134"/>
      <c r="AN134" s="91"/>
      <c r="AO134" s="165"/>
      <c r="AP134" s="158"/>
      <c r="AQ134" s="158"/>
      <c r="AR134" s="158"/>
      <c r="AS134" s="158"/>
      <c r="AT134" s="158"/>
      <c r="AU134" s="165"/>
      <c r="AV134" s="169"/>
      <c r="AW134" s="165"/>
      <c r="AX134" s="165"/>
      <c r="AY134" s="165"/>
      <c r="AZ134" s="165"/>
      <c r="BA134" s="165"/>
      <c r="BB134" s="169"/>
      <c r="BC134" s="169"/>
      <c r="BD134" s="169"/>
      <c r="BE134" s="165"/>
      <c r="BF134" s="201"/>
      <c r="BG134" s="685"/>
      <c r="BK134" s="201"/>
      <c r="BL134" s="201"/>
      <c r="BM134" s="201"/>
      <c r="BN134" s="201"/>
      <c r="BO134" s="201"/>
      <c r="BP134" s="201"/>
      <c r="BQ134" s="201"/>
      <c r="BR134" s="201"/>
      <c r="BS134" s="201"/>
      <c r="BT134" s="181"/>
    </row>
    <row r="135" ht="75" customHeight="1" spans="1:85">
      <c r="A135" s="23">
        <f>SUBTOTAL(3,C$7:C135)</f>
        <v>102</v>
      </c>
      <c r="B135" s="55" t="s">
        <v>1557</v>
      </c>
      <c r="C135" s="35" t="s">
        <v>562</v>
      </c>
      <c r="D135" s="60" t="s">
        <v>1558</v>
      </c>
      <c r="E135" s="35" t="s">
        <v>564</v>
      </c>
      <c r="F135" s="35">
        <v>20000</v>
      </c>
      <c r="G135" s="136">
        <v>5000</v>
      </c>
      <c r="H135" s="123" t="s">
        <v>1559</v>
      </c>
      <c r="I135" s="67">
        <v>400</v>
      </c>
      <c r="J135" s="67">
        <v>800</v>
      </c>
      <c r="K135" s="67">
        <v>1100</v>
      </c>
      <c r="L135" s="36">
        <v>1500</v>
      </c>
      <c r="M135" s="36"/>
      <c r="N135" s="50"/>
      <c r="O135" s="36"/>
      <c r="P135" s="90" t="s">
        <v>2441</v>
      </c>
      <c r="Q135" s="90" t="s">
        <v>117</v>
      </c>
      <c r="R135" s="132"/>
      <c r="S135" s="132"/>
      <c r="T135" s="132"/>
      <c r="U135" s="132"/>
      <c r="V135" s="132"/>
      <c r="W135" s="132"/>
      <c r="X135" s="132"/>
      <c r="Y135" s="132"/>
      <c r="Z135" s="132"/>
      <c r="AA135" s="132"/>
      <c r="AB135" s="132"/>
      <c r="AC135" s="132"/>
      <c r="AD135" s="132"/>
      <c r="AE135" s="132"/>
      <c r="AF135" s="132"/>
      <c r="AG135" s="132"/>
      <c r="AH135" s="132"/>
      <c r="AI135" s="90"/>
      <c r="AJ135" s="90" t="s">
        <v>117</v>
      </c>
      <c r="AK135" s="123" t="s">
        <v>807</v>
      </c>
      <c r="AL135" s="67" t="s">
        <v>2442</v>
      </c>
      <c r="AM135" s="35" t="s">
        <v>375</v>
      </c>
      <c r="AN135" s="91"/>
      <c r="AO135" s="157"/>
      <c r="AP135" s="158" t="s">
        <v>2039</v>
      </c>
      <c r="AQ135" s="158" t="s">
        <v>2061</v>
      </c>
      <c r="AR135" s="158" t="str">
        <f t="shared" ref="AR135:AR138" si="224">AQ135&amp;AP135</f>
        <v>园区基础设施供水工程</v>
      </c>
      <c r="AS135" s="158" t="s">
        <v>2018</v>
      </c>
      <c r="AT135" s="158"/>
      <c r="AU135" s="157"/>
      <c r="AV135" s="159"/>
      <c r="AW135" s="160"/>
      <c r="AX135" s="157"/>
      <c r="AY135" s="157"/>
      <c r="AZ135" s="157"/>
      <c r="BA135" s="157"/>
      <c r="BB135" s="157"/>
      <c r="BC135" s="157"/>
      <c r="BD135" s="157"/>
      <c r="BE135" s="157"/>
      <c r="BF135" s="201" t="s">
        <v>205</v>
      </c>
      <c r="BG135" s="203" t="s">
        <v>1980</v>
      </c>
      <c r="BH135" s="201" t="str">
        <f t="shared" ref="BH135:BH138" si="225">BF135&amp;AM135</f>
        <v>政府钦北区人民政府</v>
      </c>
      <c r="BI135" s="201" t="str">
        <f t="shared" ref="BI135:BI138" si="226">BG135&amp;AM135</f>
        <v>基础设施钦北区人民政府</v>
      </c>
      <c r="BJ135" s="204">
        <f t="shared" ref="BJ135:BJ138" si="227">IF(N135&gt;0,1,0)</f>
        <v>0</v>
      </c>
      <c r="BK135" s="157" t="str">
        <f t="shared" ref="BK135:BK138" si="228">IF(L135&lt;1000,"",AR135&amp;"1000")</f>
        <v>园区基础设施供水工程1000</v>
      </c>
      <c r="BL135" s="157" t="str">
        <f t="shared" ref="BL135:BL138" si="229">IF(L135&lt;2000,"",AR135&amp;"2000")</f>
        <v/>
      </c>
      <c r="BM135" s="157" t="str">
        <f t="shared" ref="BM135:BM138" si="230">IF(L135&lt;5000,"",AR135&amp;"5000")</f>
        <v/>
      </c>
      <c r="BN135" s="157"/>
      <c r="BO135" s="157">
        <f t="shared" ref="BO135:BO138" si="231">IF(R135&gt;0,1,0)</f>
        <v>0</v>
      </c>
      <c r="BP135" s="157">
        <f t="shared" ref="BP135:BP138" si="232">IF(X135&gt;0,1,0)</f>
        <v>0</v>
      </c>
      <c r="BQ135" s="157">
        <f t="shared" ref="BQ135:BQ138" si="233">IF(U135&gt;0,1,0)</f>
        <v>0</v>
      </c>
      <c r="BR135" s="157">
        <f t="shared" ref="BR135:BR138" si="234">IF(AA135&gt;0,1,0)</f>
        <v>0</v>
      </c>
      <c r="BS135" s="157">
        <f t="shared" ref="BS135:BS138" si="235">IF(AD135&gt;0,1,0)</f>
        <v>0</v>
      </c>
      <c r="BT135" s="273"/>
      <c r="BU135" s="206"/>
      <c r="CB135" s="4"/>
      <c r="CC135" s="4"/>
      <c r="CD135" s="4"/>
      <c r="CE135" s="4"/>
      <c r="CF135" s="4"/>
      <c r="CG135" s="4"/>
    </row>
    <row r="136" s="9" customFormat="1" ht="30" customHeight="1" spans="1:72">
      <c r="A136" s="551"/>
      <c r="B136" s="557" t="str">
        <f>"供电工程（"&amp;SUBTOTAL(3,C137:C138)&amp;"个）"</f>
        <v>供电工程（2个）</v>
      </c>
      <c r="C136" s="551"/>
      <c r="D136" s="55"/>
      <c r="E136" s="551"/>
      <c r="F136" s="134">
        <f t="shared" ref="F136:M136" si="236">SUBTOTAL(9,F137:F138)</f>
        <v>10156</v>
      </c>
      <c r="G136" s="134">
        <f t="shared" si="236"/>
        <v>2910</v>
      </c>
      <c r="H136" s="134"/>
      <c r="I136" s="134">
        <f t="shared" si="236"/>
        <v>150</v>
      </c>
      <c r="J136" s="134">
        <f t="shared" si="236"/>
        <v>750</v>
      </c>
      <c r="K136" s="134">
        <f t="shared" si="236"/>
        <v>2150</v>
      </c>
      <c r="L136" s="134">
        <f t="shared" si="236"/>
        <v>2800</v>
      </c>
      <c r="M136" s="134">
        <f t="shared" si="236"/>
        <v>0</v>
      </c>
      <c r="N136" s="134"/>
      <c r="O136" s="134"/>
      <c r="P136" s="90"/>
      <c r="Q136" s="90"/>
      <c r="R136" s="132"/>
      <c r="S136" s="132"/>
      <c r="T136" s="132"/>
      <c r="U136" s="132"/>
      <c r="V136" s="132"/>
      <c r="W136" s="132"/>
      <c r="X136" s="132"/>
      <c r="Y136" s="132"/>
      <c r="Z136" s="132"/>
      <c r="AA136" s="132"/>
      <c r="AB136" s="132"/>
      <c r="AC136" s="132"/>
      <c r="AD136" s="132"/>
      <c r="AE136" s="132"/>
      <c r="AF136" s="132"/>
      <c r="AG136" s="132"/>
      <c r="AH136" s="132"/>
      <c r="AI136" s="90"/>
      <c r="AJ136" s="90"/>
      <c r="AK136" s="591"/>
      <c r="AL136" s="134"/>
      <c r="AM136" s="134"/>
      <c r="AN136" s="91"/>
      <c r="AO136" s="165"/>
      <c r="AP136" s="158"/>
      <c r="AQ136" s="158"/>
      <c r="AR136" s="158"/>
      <c r="AS136" s="158"/>
      <c r="AT136" s="158"/>
      <c r="AU136" s="165"/>
      <c r="AV136" s="169"/>
      <c r="AW136" s="165"/>
      <c r="AX136" s="165"/>
      <c r="AY136" s="165"/>
      <c r="AZ136" s="165"/>
      <c r="BA136" s="165"/>
      <c r="BB136" s="169"/>
      <c r="BC136" s="169"/>
      <c r="BD136" s="169"/>
      <c r="BE136" s="165"/>
      <c r="BF136" s="201"/>
      <c r="BG136" s="685"/>
      <c r="BK136" s="201"/>
      <c r="BL136" s="201"/>
      <c r="BM136" s="201"/>
      <c r="BN136" s="201"/>
      <c r="BO136" s="201"/>
      <c r="BP136" s="201"/>
      <c r="BQ136" s="201"/>
      <c r="BR136" s="201"/>
      <c r="BS136" s="201"/>
      <c r="BT136" s="181"/>
    </row>
    <row r="137" ht="57" customHeight="1" spans="1:85">
      <c r="A137" s="23">
        <f>SUBTOTAL(3,C$7:C137)</f>
        <v>103</v>
      </c>
      <c r="B137" s="60" t="s">
        <v>1587</v>
      </c>
      <c r="C137" s="59" t="s">
        <v>562</v>
      </c>
      <c r="D137" s="60" t="s">
        <v>1588</v>
      </c>
      <c r="E137" s="59" t="s">
        <v>564</v>
      </c>
      <c r="F137" s="59">
        <v>5518</v>
      </c>
      <c r="G137" s="59">
        <v>10</v>
      </c>
      <c r="H137" s="595" t="s">
        <v>2443</v>
      </c>
      <c r="I137" s="76"/>
      <c r="J137" s="76">
        <v>400</v>
      </c>
      <c r="K137" s="76">
        <v>1700</v>
      </c>
      <c r="L137" s="59">
        <v>2300</v>
      </c>
      <c r="M137" s="59"/>
      <c r="N137" s="111"/>
      <c r="O137" s="67"/>
      <c r="P137" s="259" t="s">
        <v>2444</v>
      </c>
      <c r="Q137" s="60" t="s">
        <v>2445</v>
      </c>
      <c r="R137" s="251">
        <v>200</v>
      </c>
      <c r="S137" s="251"/>
      <c r="T137" s="251">
        <v>200</v>
      </c>
      <c r="U137" s="251">
        <v>200</v>
      </c>
      <c r="V137" s="251"/>
      <c r="W137" s="251">
        <v>200</v>
      </c>
      <c r="X137" s="251"/>
      <c r="Y137" s="251"/>
      <c r="Z137" s="251"/>
      <c r="AA137" s="251">
        <v>200</v>
      </c>
      <c r="AB137" s="251"/>
      <c r="AC137" s="251">
        <v>200</v>
      </c>
      <c r="AD137" s="251">
        <v>2300</v>
      </c>
      <c r="AE137" s="251"/>
      <c r="AF137" s="251">
        <v>2300</v>
      </c>
      <c r="AG137" s="251"/>
      <c r="AH137" s="251"/>
      <c r="AI137" s="90"/>
      <c r="AJ137" s="60" t="s">
        <v>1590</v>
      </c>
      <c r="AK137" s="58" t="s">
        <v>1586</v>
      </c>
      <c r="AL137" s="59" t="s">
        <v>2089</v>
      </c>
      <c r="AM137" s="59" t="s">
        <v>185</v>
      </c>
      <c r="AN137" s="91"/>
      <c r="AO137" s="157"/>
      <c r="AP137" s="158" t="s">
        <v>2042</v>
      </c>
      <c r="AQ137" s="158" t="s">
        <v>2061</v>
      </c>
      <c r="AR137" s="158" t="str">
        <f t="shared" si="224"/>
        <v>园区基础设施供电工程</v>
      </c>
      <c r="AS137" s="158" t="s">
        <v>2018</v>
      </c>
      <c r="AT137" s="158"/>
      <c r="AU137" s="157"/>
      <c r="AV137" s="159"/>
      <c r="AW137" s="160"/>
      <c r="AX137" s="157"/>
      <c r="AY137" s="157"/>
      <c r="AZ137" s="157"/>
      <c r="BA137" s="157"/>
      <c r="BB137" s="157"/>
      <c r="BC137" s="157"/>
      <c r="BD137" s="157"/>
      <c r="BE137" s="157"/>
      <c r="BF137" s="157" t="s">
        <v>92</v>
      </c>
      <c r="BG137" s="203" t="s">
        <v>1980</v>
      </c>
      <c r="BH137" s="201" t="str">
        <f t="shared" si="225"/>
        <v>企业中马钦州产业园区管委</v>
      </c>
      <c r="BI137" s="201" t="str">
        <f t="shared" si="226"/>
        <v>基础设施中马钦州产业园区管委</v>
      </c>
      <c r="BJ137" s="204">
        <f t="shared" si="227"/>
        <v>0</v>
      </c>
      <c r="BK137" s="157" t="str">
        <f t="shared" si="228"/>
        <v>园区基础设施供电工程1000</v>
      </c>
      <c r="BL137" s="157" t="str">
        <f t="shared" si="229"/>
        <v>园区基础设施供电工程2000</v>
      </c>
      <c r="BM137" s="157" t="str">
        <f t="shared" si="230"/>
        <v/>
      </c>
      <c r="BN137" s="157"/>
      <c r="BO137" s="157">
        <f t="shared" si="231"/>
        <v>1</v>
      </c>
      <c r="BP137" s="157">
        <f t="shared" si="232"/>
        <v>0</v>
      </c>
      <c r="BQ137" s="157">
        <f t="shared" si="233"/>
        <v>1</v>
      </c>
      <c r="BR137" s="157">
        <f t="shared" si="234"/>
        <v>1</v>
      </c>
      <c r="BS137" s="157">
        <f t="shared" si="235"/>
        <v>1</v>
      </c>
      <c r="BT137" s="157"/>
      <c r="BU137" s="206"/>
      <c r="CB137" s="4"/>
      <c r="CC137" s="4"/>
      <c r="CD137" s="4"/>
      <c r="CE137" s="4"/>
      <c r="CF137" s="4"/>
      <c r="CG137" s="4"/>
    </row>
    <row r="138" ht="62.25" customHeight="1" spans="1:85">
      <c r="A138" s="23">
        <f>SUBTOTAL(3,C$7:C138)</f>
        <v>104</v>
      </c>
      <c r="B138" s="60" t="s">
        <v>1591</v>
      </c>
      <c r="C138" s="59" t="s">
        <v>562</v>
      </c>
      <c r="D138" s="60" t="s">
        <v>1592</v>
      </c>
      <c r="E138" s="59" t="s">
        <v>575</v>
      </c>
      <c r="F138" s="59">
        <v>4638</v>
      </c>
      <c r="G138" s="59">
        <v>2900</v>
      </c>
      <c r="H138" s="595" t="s">
        <v>1593</v>
      </c>
      <c r="I138" s="59">
        <v>150</v>
      </c>
      <c r="J138" s="59">
        <v>350</v>
      </c>
      <c r="K138" s="59">
        <v>450</v>
      </c>
      <c r="L138" s="59">
        <v>500</v>
      </c>
      <c r="M138" s="35"/>
      <c r="N138" s="111"/>
      <c r="O138" s="67"/>
      <c r="P138" s="259" t="s">
        <v>2444</v>
      </c>
      <c r="Q138" s="60"/>
      <c r="R138" s="251">
        <v>200</v>
      </c>
      <c r="S138" s="251"/>
      <c r="T138" s="251">
        <v>200</v>
      </c>
      <c r="U138" s="251">
        <v>200</v>
      </c>
      <c r="V138" s="251"/>
      <c r="W138" s="251">
        <v>200</v>
      </c>
      <c r="X138" s="251"/>
      <c r="Y138" s="251"/>
      <c r="Z138" s="251"/>
      <c r="AA138" s="251">
        <v>200</v>
      </c>
      <c r="AB138" s="251"/>
      <c r="AC138" s="251">
        <v>200</v>
      </c>
      <c r="AD138" s="251">
        <v>2300</v>
      </c>
      <c r="AE138" s="251"/>
      <c r="AF138" s="251">
        <v>2300</v>
      </c>
      <c r="AG138" s="251"/>
      <c r="AH138" s="251"/>
      <c r="AI138" s="90"/>
      <c r="AJ138" s="60" t="s">
        <v>1594</v>
      </c>
      <c r="AK138" s="58" t="s">
        <v>1586</v>
      </c>
      <c r="AL138" s="59" t="s">
        <v>2446</v>
      </c>
      <c r="AM138" s="59" t="s">
        <v>185</v>
      </c>
      <c r="AN138" s="91"/>
      <c r="AO138" s="157"/>
      <c r="AP138" s="158" t="s">
        <v>2042</v>
      </c>
      <c r="AQ138" s="158" t="s">
        <v>2061</v>
      </c>
      <c r="AR138" s="158" t="str">
        <f t="shared" si="224"/>
        <v>园区基础设施供电工程</v>
      </c>
      <c r="AS138" s="158" t="s">
        <v>2018</v>
      </c>
      <c r="AT138" s="158"/>
      <c r="AU138" s="157"/>
      <c r="AV138" s="159"/>
      <c r="AW138" s="160"/>
      <c r="AX138" s="157"/>
      <c r="AY138" s="157"/>
      <c r="AZ138" s="157"/>
      <c r="BA138" s="157"/>
      <c r="BB138" s="157"/>
      <c r="BC138" s="157"/>
      <c r="BD138" s="157"/>
      <c r="BE138" s="157"/>
      <c r="BF138" s="157" t="s">
        <v>92</v>
      </c>
      <c r="BG138" s="203" t="s">
        <v>1980</v>
      </c>
      <c r="BH138" s="201" t="str">
        <f t="shared" si="225"/>
        <v>企业中马钦州产业园区管委</v>
      </c>
      <c r="BI138" s="201" t="str">
        <f t="shared" si="226"/>
        <v>基础设施中马钦州产业园区管委</v>
      </c>
      <c r="BJ138" s="204">
        <f t="shared" si="227"/>
        <v>0</v>
      </c>
      <c r="BK138" s="157" t="str">
        <f t="shared" si="228"/>
        <v/>
      </c>
      <c r="BL138" s="157" t="str">
        <f t="shared" si="229"/>
        <v/>
      </c>
      <c r="BM138" s="157" t="str">
        <f t="shared" si="230"/>
        <v/>
      </c>
      <c r="BN138" s="157"/>
      <c r="BO138" s="157">
        <f t="shared" si="231"/>
        <v>1</v>
      </c>
      <c r="BP138" s="157">
        <f t="shared" si="232"/>
        <v>0</v>
      </c>
      <c r="BQ138" s="157">
        <f t="shared" si="233"/>
        <v>1</v>
      </c>
      <c r="BR138" s="157">
        <f t="shared" si="234"/>
        <v>1</v>
      </c>
      <c r="BS138" s="157">
        <f t="shared" si="235"/>
        <v>1</v>
      </c>
      <c r="BT138" s="157"/>
      <c r="BU138" s="206"/>
      <c r="CB138" s="4"/>
      <c r="CC138" s="4"/>
      <c r="CD138" s="4"/>
      <c r="CE138" s="4"/>
      <c r="CF138" s="4"/>
      <c r="CG138" s="4"/>
    </row>
    <row r="139" s="9" customFormat="1" ht="30" customHeight="1" spans="1:72">
      <c r="A139" s="551"/>
      <c r="B139" s="557" t="str">
        <f>"其他（"&amp;SUBTOTAL(3,C140:C150)&amp;"个）"</f>
        <v>其他（11个）</v>
      </c>
      <c r="C139" s="551"/>
      <c r="D139" s="55"/>
      <c r="E139" s="551"/>
      <c r="F139" s="134">
        <f t="shared" ref="F139:M139" si="237">SUBTOTAL(9,F140:F150)</f>
        <v>1269226</v>
      </c>
      <c r="G139" s="134">
        <f t="shared" si="237"/>
        <v>157748</v>
      </c>
      <c r="H139" s="134"/>
      <c r="I139" s="134">
        <f t="shared" si="237"/>
        <v>18100</v>
      </c>
      <c r="J139" s="134">
        <f t="shared" si="237"/>
        <v>39410</v>
      </c>
      <c r="K139" s="134">
        <f t="shared" si="237"/>
        <v>69070</v>
      </c>
      <c r="L139" s="134">
        <f t="shared" si="237"/>
        <v>117000</v>
      </c>
      <c r="M139" s="134">
        <f t="shared" si="237"/>
        <v>0</v>
      </c>
      <c r="N139" s="134"/>
      <c r="O139" s="134"/>
      <c r="P139" s="90"/>
      <c r="Q139" s="90"/>
      <c r="R139" s="132"/>
      <c r="S139" s="132"/>
      <c r="T139" s="132"/>
      <c r="U139" s="132"/>
      <c r="V139" s="132"/>
      <c r="W139" s="132"/>
      <c r="X139" s="132"/>
      <c r="Y139" s="132"/>
      <c r="Z139" s="132"/>
      <c r="AA139" s="132"/>
      <c r="AB139" s="132"/>
      <c r="AC139" s="132"/>
      <c r="AD139" s="132"/>
      <c r="AE139" s="132"/>
      <c r="AF139" s="132"/>
      <c r="AG139" s="132"/>
      <c r="AH139" s="132"/>
      <c r="AI139" s="90"/>
      <c r="AJ139" s="90"/>
      <c r="AK139" s="591"/>
      <c r="AL139" s="134"/>
      <c r="AM139" s="134"/>
      <c r="AN139" s="91"/>
      <c r="AO139" s="165"/>
      <c r="AP139" s="158"/>
      <c r="AQ139" s="158"/>
      <c r="AR139" s="158"/>
      <c r="AS139" s="158"/>
      <c r="AT139" s="158"/>
      <c r="AU139" s="165"/>
      <c r="AV139" s="169"/>
      <c r="AW139" s="165"/>
      <c r="AX139" s="165"/>
      <c r="AY139" s="165"/>
      <c r="AZ139" s="165"/>
      <c r="BA139" s="165"/>
      <c r="BB139" s="169"/>
      <c r="BC139" s="169"/>
      <c r="BD139" s="169"/>
      <c r="BE139" s="165"/>
      <c r="BF139" s="201"/>
      <c r="BG139" s="685"/>
      <c r="BK139" s="201"/>
      <c r="BL139" s="201"/>
      <c r="BM139" s="201"/>
      <c r="BN139" s="201"/>
      <c r="BO139" s="201"/>
      <c r="BP139" s="201"/>
      <c r="BQ139" s="201"/>
      <c r="BR139" s="201"/>
      <c r="BS139" s="201"/>
      <c r="BT139" s="181"/>
    </row>
    <row r="140" ht="86.25" customHeight="1" spans="1:85">
      <c r="A140" s="23">
        <f>SUBTOTAL(3,C$7:C140)</f>
        <v>105</v>
      </c>
      <c r="B140" s="55" t="s">
        <v>1403</v>
      </c>
      <c r="C140" s="35" t="s">
        <v>562</v>
      </c>
      <c r="D140" s="55" t="s">
        <v>1404</v>
      </c>
      <c r="E140" s="35" t="s">
        <v>575</v>
      </c>
      <c r="F140" s="38">
        <v>23679</v>
      </c>
      <c r="G140" s="38">
        <v>2600</v>
      </c>
      <c r="H140" s="112" t="s">
        <v>1405</v>
      </c>
      <c r="I140" s="36">
        <v>500</v>
      </c>
      <c r="J140" s="36">
        <v>2000</v>
      </c>
      <c r="K140" s="36">
        <v>3500</v>
      </c>
      <c r="L140" s="38">
        <v>5000</v>
      </c>
      <c r="M140" s="38"/>
      <c r="N140" s="36"/>
      <c r="O140" s="639"/>
      <c r="P140" s="90" t="s">
        <v>2447</v>
      </c>
      <c r="Q140" s="90" t="s">
        <v>117</v>
      </c>
      <c r="R140" s="132"/>
      <c r="S140" s="132"/>
      <c r="T140" s="132"/>
      <c r="U140" s="132"/>
      <c r="V140" s="132"/>
      <c r="W140" s="132"/>
      <c r="X140" s="132"/>
      <c r="Y140" s="132"/>
      <c r="Z140" s="132"/>
      <c r="AA140" s="132">
        <v>70</v>
      </c>
      <c r="AB140" s="132"/>
      <c r="AC140" s="132">
        <v>70</v>
      </c>
      <c r="AD140" s="132">
        <v>5000</v>
      </c>
      <c r="AE140" s="132"/>
      <c r="AF140" s="132"/>
      <c r="AG140" s="132"/>
      <c r="AH140" s="132">
        <v>5000</v>
      </c>
      <c r="AI140" s="90"/>
      <c r="AJ140" s="90" t="s">
        <v>1406</v>
      </c>
      <c r="AK140" s="34" t="s">
        <v>1003</v>
      </c>
      <c r="AL140" s="35" t="s">
        <v>2448</v>
      </c>
      <c r="AM140" s="35" t="s">
        <v>119</v>
      </c>
      <c r="AN140" s="91"/>
      <c r="AO140" s="157"/>
      <c r="AP140" s="161" t="s">
        <v>2051</v>
      </c>
      <c r="AQ140" s="161" t="s">
        <v>2061</v>
      </c>
      <c r="AR140" s="158" t="str">
        <f t="shared" ref="AR140:AR150" si="238">AQ140&amp;AP140</f>
        <v>园区基础设施其他</v>
      </c>
      <c r="AS140" s="158" t="s">
        <v>2018</v>
      </c>
      <c r="AT140" s="158"/>
      <c r="AU140" s="161"/>
      <c r="AV140" s="161"/>
      <c r="AW140" s="160"/>
      <c r="AX140" s="157"/>
      <c r="AY140" s="157"/>
      <c r="AZ140" s="157"/>
      <c r="BA140" s="157"/>
      <c r="BB140" s="157"/>
      <c r="BC140" s="157"/>
      <c r="BD140" s="157"/>
      <c r="BE140" s="157"/>
      <c r="BF140" s="201" t="s">
        <v>205</v>
      </c>
      <c r="BG140" s="203" t="s">
        <v>1980</v>
      </c>
      <c r="BH140" s="201" t="str">
        <f t="shared" ref="BH140:BH150" si="239">BF140&amp;AM140</f>
        <v>政府钦州港区管委</v>
      </c>
      <c r="BI140" s="201" t="str">
        <f t="shared" ref="BI140:BI150" si="240">BG140&amp;AM140</f>
        <v>基础设施钦州港区管委</v>
      </c>
      <c r="BJ140" s="204">
        <f t="shared" ref="BJ140:BJ150" si="241">IF(N140&gt;0,1,0)</f>
        <v>0</v>
      </c>
      <c r="BK140" s="157" t="str">
        <f t="shared" ref="BK140:BK150" si="242">IF(L140&lt;1000,"",AR140&amp;"1000")</f>
        <v>园区基础设施其他1000</v>
      </c>
      <c r="BL140" s="157" t="str">
        <f t="shared" ref="BL140:BL150" si="243">IF(L140&lt;2000,"",AR140&amp;"2000")</f>
        <v>园区基础设施其他2000</v>
      </c>
      <c r="BM140" s="157" t="str">
        <f t="shared" ref="BM140:BM150" si="244">IF(L140&lt;5000,"",AR140&amp;"5000")</f>
        <v>园区基础设施其他5000</v>
      </c>
      <c r="BN140" s="157"/>
      <c r="BO140" s="157">
        <f t="shared" ref="BO140:BO150" si="245">IF(R140&gt;0,1,0)</f>
        <v>0</v>
      </c>
      <c r="BP140" s="157">
        <f t="shared" ref="BP140:BP150" si="246">IF(X140&gt;0,1,0)</f>
        <v>0</v>
      </c>
      <c r="BQ140" s="157">
        <f t="shared" ref="BQ140:BQ150" si="247">IF(U140&gt;0,1,0)</f>
        <v>0</v>
      </c>
      <c r="BR140" s="157">
        <f t="shared" ref="BR140:BR150" si="248">IF(AA140&gt;0,1,0)</f>
        <v>1</v>
      </c>
      <c r="BS140" s="157">
        <f t="shared" ref="BS140:BS150" si="249">IF(AD140&gt;0,1,0)</f>
        <v>1</v>
      </c>
      <c r="BT140" s="157"/>
      <c r="BU140" s="206"/>
      <c r="BW140" s="204"/>
      <c r="BX140" s="227"/>
      <c r="BY140" s="204"/>
      <c r="BZ140" s="204"/>
      <c r="CA140" s="204"/>
      <c r="CB140" s="4"/>
      <c r="CC140" s="4"/>
      <c r="CD140" s="4"/>
      <c r="CE140" s="4"/>
      <c r="CF140" s="4"/>
      <c r="CG140" s="4"/>
    </row>
    <row r="141" ht="68.25" customHeight="1" spans="1:85">
      <c r="A141" s="23">
        <f>SUBTOTAL(3,C$7:C141)</f>
        <v>106</v>
      </c>
      <c r="B141" s="55" t="s">
        <v>1429</v>
      </c>
      <c r="C141" s="35" t="s">
        <v>562</v>
      </c>
      <c r="D141" s="88" t="s">
        <v>1430</v>
      </c>
      <c r="E141" s="35" t="s">
        <v>632</v>
      </c>
      <c r="F141" s="35">
        <v>456800</v>
      </c>
      <c r="G141" s="38">
        <v>17000</v>
      </c>
      <c r="H141" s="123" t="s">
        <v>2449</v>
      </c>
      <c r="I141" s="642">
        <v>8000</v>
      </c>
      <c r="J141" s="642">
        <v>15000</v>
      </c>
      <c r="K141" s="642">
        <v>28000</v>
      </c>
      <c r="L141" s="642">
        <v>40000</v>
      </c>
      <c r="M141" s="38"/>
      <c r="N141" s="111"/>
      <c r="O141" s="67"/>
      <c r="P141" s="90" t="s">
        <v>2450</v>
      </c>
      <c r="Q141" s="90" t="s">
        <v>117</v>
      </c>
      <c r="R141" s="643">
        <v>1538</v>
      </c>
      <c r="S141" s="643">
        <v>1538</v>
      </c>
      <c r="T141" s="643"/>
      <c r="U141" s="643"/>
      <c r="V141" s="643"/>
      <c r="W141" s="643"/>
      <c r="X141" s="643"/>
      <c r="Y141" s="643"/>
      <c r="Z141" s="643"/>
      <c r="AA141" s="643"/>
      <c r="AB141" s="643"/>
      <c r="AC141" s="643"/>
      <c r="AD141" s="643">
        <v>40000</v>
      </c>
      <c r="AE141" s="643"/>
      <c r="AF141" s="643"/>
      <c r="AG141" s="643"/>
      <c r="AH141" s="643">
        <v>40000</v>
      </c>
      <c r="AI141" s="90"/>
      <c r="AJ141" s="90" t="s">
        <v>1432</v>
      </c>
      <c r="AK141" s="249" t="s">
        <v>766</v>
      </c>
      <c r="AL141" s="129" t="s">
        <v>2427</v>
      </c>
      <c r="AM141" s="81" t="s">
        <v>185</v>
      </c>
      <c r="AN141" s="91"/>
      <c r="AO141" s="157"/>
      <c r="AP141" s="161" t="s">
        <v>2051</v>
      </c>
      <c r="AQ141" s="161" t="s">
        <v>2061</v>
      </c>
      <c r="AR141" s="158" t="str">
        <f t="shared" si="238"/>
        <v>园区基础设施其他</v>
      </c>
      <c r="AS141" s="158" t="s">
        <v>2018</v>
      </c>
      <c r="AT141" s="158"/>
      <c r="AU141" s="157"/>
      <c r="AV141" s="272"/>
      <c r="AW141" s="160"/>
      <c r="AX141" s="157"/>
      <c r="AY141" s="157"/>
      <c r="AZ141" s="157"/>
      <c r="BA141" s="157"/>
      <c r="BB141" s="157"/>
      <c r="BC141" s="157"/>
      <c r="BD141" s="157"/>
      <c r="BE141" s="157"/>
      <c r="BF141" s="157" t="s">
        <v>205</v>
      </c>
      <c r="BG141" s="203" t="s">
        <v>1980</v>
      </c>
      <c r="BH141" s="201" t="str">
        <f t="shared" si="239"/>
        <v>政府中马钦州产业园区管委</v>
      </c>
      <c r="BI141" s="201" t="str">
        <f t="shared" si="240"/>
        <v>基础设施中马钦州产业园区管委</v>
      </c>
      <c r="BJ141" s="204">
        <f t="shared" si="241"/>
        <v>0</v>
      </c>
      <c r="BK141" s="157" t="str">
        <f t="shared" si="242"/>
        <v>园区基础设施其他1000</v>
      </c>
      <c r="BL141" s="157" t="str">
        <f t="shared" si="243"/>
        <v>园区基础设施其他2000</v>
      </c>
      <c r="BM141" s="157" t="str">
        <f t="shared" si="244"/>
        <v>园区基础设施其他5000</v>
      </c>
      <c r="BN141" s="157"/>
      <c r="BO141" s="157">
        <f t="shared" si="245"/>
        <v>1</v>
      </c>
      <c r="BP141" s="157">
        <f t="shared" si="246"/>
        <v>0</v>
      </c>
      <c r="BQ141" s="157">
        <f t="shared" si="247"/>
        <v>0</v>
      </c>
      <c r="BR141" s="157">
        <f t="shared" si="248"/>
        <v>0</v>
      </c>
      <c r="BS141" s="157">
        <f t="shared" si="249"/>
        <v>1</v>
      </c>
      <c r="BT141" s="181"/>
      <c r="BU141" s="206"/>
      <c r="BW141" s="7" t="s">
        <v>1890</v>
      </c>
      <c r="BX141" s="7"/>
      <c r="BY141" s="7"/>
      <c r="BZ141" s="7"/>
      <c r="CA141" s="7"/>
      <c r="CB141" s="4"/>
      <c r="CC141" s="4"/>
      <c r="CD141" s="4"/>
      <c r="CE141" s="4"/>
      <c r="CF141" s="4"/>
      <c r="CG141" s="4"/>
    </row>
    <row r="142" ht="60.6" customHeight="1" spans="1:85">
      <c r="A142" s="23">
        <f>SUBTOTAL(3,C$7:C142)</f>
        <v>107</v>
      </c>
      <c r="B142" s="55" t="s">
        <v>1437</v>
      </c>
      <c r="C142" s="35" t="s">
        <v>562</v>
      </c>
      <c r="D142" s="55" t="s">
        <v>1438</v>
      </c>
      <c r="E142" s="35" t="s">
        <v>588</v>
      </c>
      <c r="F142" s="38">
        <v>127500</v>
      </c>
      <c r="G142" s="38">
        <v>46568</v>
      </c>
      <c r="H142" s="123" t="s">
        <v>2451</v>
      </c>
      <c r="I142" s="67">
        <v>2000</v>
      </c>
      <c r="J142" s="67">
        <v>4800</v>
      </c>
      <c r="K142" s="67">
        <v>9400</v>
      </c>
      <c r="L142" s="38">
        <v>16000</v>
      </c>
      <c r="M142" s="38"/>
      <c r="N142" s="111"/>
      <c r="O142" s="67"/>
      <c r="P142" s="90" t="s">
        <v>2452</v>
      </c>
      <c r="Q142" s="137" t="s">
        <v>117</v>
      </c>
      <c r="R142" s="115">
        <v>61</v>
      </c>
      <c r="S142" s="115">
        <v>61</v>
      </c>
      <c r="T142" s="115"/>
      <c r="U142" s="115"/>
      <c r="V142" s="115"/>
      <c r="W142" s="115"/>
      <c r="X142" s="115"/>
      <c r="Y142" s="115"/>
      <c r="Z142" s="115"/>
      <c r="AA142" s="115"/>
      <c r="AB142" s="115"/>
      <c r="AC142" s="115"/>
      <c r="AD142" s="115"/>
      <c r="AE142" s="115"/>
      <c r="AF142" s="115"/>
      <c r="AG142" s="115"/>
      <c r="AH142" s="115"/>
      <c r="AI142" s="90"/>
      <c r="AJ142" s="90" t="s">
        <v>117</v>
      </c>
      <c r="AK142" s="34" t="s">
        <v>211</v>
      </c>
      <c r="AL142" s="35" t="s">
        <v>2453</v>
      </c>
      <c r="AM142" s="81" t="s">
        <v>185</v>
      </c>
      <c r="AN142" s="270"/>
      <c r="AO142" s="157"/>
      <c r="AP142" s="161" t="s">
        <v>2051</v>
      </c>
      <c r="AQ142" s="161" t="s">
        <v>2061</v>
      </c>
      <c r="AR142" s="158" t="str">
        <f t="shared" si="238"/>
        <v>园区基础设施其他</v>
      </c>
      <c r="AS142" s="158" t="s">
        <v>2018</v>
      </c>
      <c r="AT142" s="158"/>
      <c r="AU142" s="157"/>
      <c r="AV142" s="272"/>
      <c r="AW142" s="160"/>
      <c r="AX142" s="157"/>
      <c r="AY142" s="157"/>
      <c r="AZ142" s="157"/>
      <c r="BA142" s="157"/>
      <c r="BB142" s="157"/>
      <c r="BC142" s="157"/>
      <c r="BD142" s="157"/>
      <c r="BE142" s="157"/>
      <c r="BF142" s="157" t="s">
        <v>205</v>
      </c>
      <c r="BG142" s="203" t="s">
        <v>1980</v>
      </c>
      <c r="BH142" s="201" t="str">
        <f t="shared" si="239"/>
        <v>政府中马钦州产业园区管委</v>
      </c>
      <c r="BI142" s="201" t="str">
        <f t="shared" si="240"/>
        <v>基础设施中马钦州产业园区管委</v>
      </c>
      <c r="BJ142" s="204">
        <f t="shared" si="241"/>
        <v>0</v>
      </c>
      <c r="BK142" s="157" t="str">
        <f t="shared" si="242"/>
        <v>园区基础设施其他1000</v>
      </c>
      <c r="BL142" s="157" t="str">
        <f t="shared" si="243"/>
        <v>园区基础设施其他2000</v>
      </c>
      <c r="BM142" s="157" t="str">
        <f t="shared" si="244"/>
        <v>园区基础设施其他5000</v>
      </c>
      <c r="BN142" s="157"/>
      <c r="BO142" s="157">
        <f t="shared" si="245"/>
        <v>1</v>
      </c>
      <c r="BP142" s="157">
        <f t="shared" si="246"/>
        <v>0</v>
      </c>
      <c r="BQ142" s="157">
        <f t="shared" si="247"/>
        <v>0</v>
      </c>
      <c r="BR142" s="157">
        <f t="shared" si="248"/>
        <v>0</v>
      </c>
      <c r="BS142" s="157">
        <f t="shared" si="249"/>
        <v>0</v>
      </c>
      <c r="BT142" s="181"/>
      <c r="BU142" s="206"/>
      <c r="BW142" s="7" t="s">
        <v>1890</v>
      </c>
      <c r="BX142" s="7"/>
      <c r="BY142" s="7"/>
      <c r="BZ142" s="7"/>
      <c r="CA142" s="7"/>
      <c r="CB142" s="4"/>
      <c r="CC142" s="4"/>
      <c r="CD142" s="4"/>
      <c r="CE142" s="4"/>
      <c r="CF142" s="4"/>
      <c r="CG142" s="4"/>
    </row>
    <row r="143" ht="60.6" customHeight="1" spans="1:85">
      <c r="A143" s="23">
        <f>SUBTOTAL(3,C$7:C143)</f>
        <v>108</v>
      </c>
      <c r="B143" s="60" t="s">
        <v>1440</v>
      </c>
      <c r="C143" s="23" t="s">
        <v>562</v>
      </c>
      <c r="D143" s="60" t="s">
        <v>1441</v>
      </c>
      <c r="E143" s="23" t="s">
        <v>564</v>
      </c>
      <c r="F143" s="67">
        <v>86000</v>
      </c>
      <c r="G143" s="38">
        <v>22000</v>
      </c>
      <c r="H143" s="123" t="s">
        <v>2454</v>
      </c>
      <c r="I143" s="642">
        <v>2000</v>
      </c>
      <c r="J143" s="642">
        <v>5000</v>
      </c>
      <c r="K143" s="642">
        <v>7500</v>
      </c>
      <c r="L143" s="642">
        <v>10000</v>
      </c>
      <c r="M143" s="38"/>
      <c r="N143" s="111"/>
      <c r="O143" s="67"/>
      <c r="P143" s="723" t="s">
        <v>2455</v>
      </c>
      <c r="Q143" s="90" t="s">
        <v>117</v>
      </c>
      <c r="R143" s="643">
        <v>141</v>
      </c>
      <c r="S143" s="643">
        <v>141</v>
      </c>
      <c r="T143" s="643"/>
      <c r="U143" s="643"/>
      <c r="V143" s="643"/>
      <c r="W143" s="643"/>
      <c r="X143" s="643"/>
      <c r="Y143" s="643"/>
      <c r="Z143" s="643"/>
      <c r="AA143" s="643"/>
      <c r="AB143" s="643"/>
      <c r="AC143" s="643"/>
      <c r="AD143" s="643">
        <v>15000</v>
      </c>
      <c r="AE143" s="643"/>
      <c r="AF143" s="643"/>
      <c r="AG143" s="643"/>
      <c r="AH143" s="643">
        <v>15000</v>
      </c>
      <c r="AI143" s="90"/>
      <c r="AJ143" s="723" t="s">
        <v>1443</v>
      </c>
      <c r="AK143" s="123" t="s">
        <v>766</v>
      </c>
      <c r="AL143" s="129" t="s">
        <v>2427</v>
      </c>
      <c r="AM143" s="67" t="s">
        <v>185</v>
      </c>
      <c r="AN143" s="270"/>
      <c r="AO143" s="157"/>
      <c r="AP143" s="161" t="s">
        <v>2051</v>
      </c>
      <c r="AQ143" s="161" t="s">
        <v>2061</v>
      </c>
      <c r="AR143" s="158" t="str">
        <f t="shared" si="238"/>
        <v>园区基础设施其他</v>
      </c>
      <c r="AS143" s="158" t="s">
        <v>2018</v>
      </c>
      <c r="AT143" s="158"/>
      <c r="AU143" s="157"/>
      <c r="AV143" s="272"/>
      <c r="AW143" s="160"/>
      <c r="AX143" s="157"/>
      <c r="AY143" s="157"/>
      <c r="AZ143" s="157"/>
      <c r="BA143" s="157"/>
      <c r="BB143" s="157"/>
      <c r="BC143" s="157"/>
      <c r="BD143" s="157"/>
      <c r="BE143" s="157"/>
      <c r="BF143" s="157" t="s">
        <v>205</v>
      </c>
      <c r="BG143" s="203" t="s">
        <v>1980</v>
      </c>
      <c r="BH143" s="201" t="str">
        <f t="shared" si="239"/>
        <v>政府中马钦州产业园区管委</v>
      </c>
      <c r="BI143" s="201" t="str">
        <f t="shared" si="240"/>
        <v>基础设施中马钦州产业园区管委</v>
      </c>
      <c r="BJ143" s="204">
        <f t="shared" si="241"/>
        <v>0</v>
      </c>
      <c r="BK143" s="157" t="str">
        <f t="shared" si="242"/>
        <v>园区基础设施其他1000</v>
      </c>
      <c r="BL143" s="157" t="str">
        <f t="shared" si="243"/>
        <v>园区基础设施其他2000</v>
      </c>
      <c r="BM143" s="157" t="str">
        <f t="shared" si="244"/>
        <v>园区基础设施其他5000</v>
      </c>
      <c r="BN143" s="157"/>
      <c r="BO143" s="157">
        <f t="shared" si="245"/>
        <v>1</v>
      </c>
      <c r="BP143" s="157">
        <f t="shared" si="246"/>
        <v>0</v>
      </c>
      <c r="BQ143" s="157">
        <f t="shared" si="247"/>
        <v>0</v>
      </c>
      <c r="BR143" s="157">
        <f t="shared" si="248"/>
        <v>0</v>
      </c>
      <c r="BS143" s="157">
        <f t="shared" si="249"/>
        <v>1</v>
      </c>
      <c r="BT143" s="181"/>
      <c r="BU143" s="206"/>
      <c r="BW143" s="7"/>
      <c r="BX143" s="7"/>
      <c r="BY143" s="7"/>
      <c r="BZ143" s="7"/>
      <c r="CA143" s="7"/>
      <c r="CB143" s="4"/>
      <c r="CC143" s="4"/>
      <c r="CD143" s="4"/>
      <c r="CE143" s="4"/>
      <c r="CF143" s="4"/>
      <c r="CG143" s="4"/>
    </row>
    <row r="144" ht="60.6" customHeight="1" spans="1:85">
      <c r="A144" s="23">
        <f>SUBTOTAL(3,C$7:C144)</f>
        <v>109</v>
      </c>
      <c r="B144" s="60" t="s">
        <v>1444</v>
      </c>
      <c r="C144" s="23" t="s">
        <v>562</v>
      </c>
      <c r="D144" s="60" t="s">
        <v>1445</v>
      </c>
      <c r="E144" s="23" t="s">
        <v>564</v>
      </c>
      <c r="F144" s="67">
        <v>58000</v>
      </c>
      <c r="G144" s="38">
        <v>17000</v>
      </c>
      <c r="H144" s="123" t="s">
        <v>2456</v>
      </c>
      <c r="I144" s="642">
        <v>1500</v>
      </c>
      <c r="J144" s="642">
        <v>4000</v>
      </c>
      <c r="K144" s="642">
        <v>6500</v>
      </c>
      <c r="L144" s="642">
        <v>8000</v>
      </c>
      <c r="M144" s="38"/>
      <c r="N144" s="111"/>
      <c r="O144" s="67"/>
      <c r="P144" s="723" t="s">
        <v>2457</v>
      </c>
      <c r="Q144" s="90" t="s">
        <v>117</v>
      </c>
      <c r="R144" s="643">
        <v>97</v>
      </c>
      <c r="S144" s="643">
        <v>97</v>
      </c>
      <c r="T144" s="643"/>
      <c r="U144" s="643"/>
      <c r="V144" s="643"/>
      <c r="W144" s="132"/>
      <c r="X144" s="643"/>
      <c r="Y144" s="643"/>
      <c r="Z144" s="132"/>
      <c r="AA144" s="643"/>
      <c r="AB144" s="643"/>
      <c r="AC144" s="643"/>
      <c r="AD144" s="643">
        <v>10000</v>
      </c>
      <c r="AE144" s="643"/>
      <c r="AF144" s="643"/>
      <c r="AG144" s="643"/>
      <c r="AH144" s="643">
        <v>10000</v>
      </c>
      <c r="AI144" s="90"/>
      <c r="AJ144" s="723" t="s">
        <v>1443</v>
      </c>
      <c r="AK144" s="123" t="s">
        <v>766</v>
      </c>
      <c r="AL144" s="129" t="s">
        <v>2427</v>
      </c>
      <c r="AM144" s="67" t="s">
        <v>185</v>
      </c>
      <c r="AN144" s="270"/>
      <c r="AO144" s="157"/>
      <c r="AP144" s="161" t="s">
        <v>2051</v>
      </c>
      <c r="AQ144" s="161" t="s">
        <v>2061</v>
      </c>
      <c r="AR144" s="158" t="str">
        <f t="shared" si="238"/>
        <v>园区基础设施其他</v>
      </c>
      <c r="AS144" s="158" t="s">
        <v>2018</v>
      </c>
      <c r="AT144" s="158"/>
      <c r="AU144" s="157"/>
      <c r="AV144" s="272"/>
      <c r="AW144" s="160"/>
      <c r="AX144" s="157"/>
      <c r="AY144" s="157"/>
      <c r="AZ144" s="157"/>
      <c r="BA144" s="157"/>
      <c r="BB144" s="157"/>
      <c r="BC144" s="157"/>
      <c r="BD144" s="157"/>
      <c r="BE144" s="157"/>
      <c r="BF144" s="157" t="s">
        <v>205</v>
      </c>
      <c r="BG144" s="203" t="s">
        <v>1980</v>
      </c>
      <c r="BH144" s="201" t="str">
        <f t="shared" si="239"/>
        <v>政府中马钦州产业园区管委</v>
      </c>
      <c r="BI144" s="201" t="str">
        <f t="shared" si="240"/>
        <v>基础设施中马钦州产业园区管委</v>
      </c>
      <c r="BJ144" s="204">
        <f t="shared" si="241"/>
        <v>0</v>
      </c>
      <c r="BK144" s="157" t="str">
        <f t="shared" si="242"/>
        <v>园区基础设施其他1000</v>
      </c>
      <c r="BL144" s="157" t="str">
        <f t="shared" si="243"/>
        <v>园区基础设施其他2000</v>
      </c>
      <c r="BM144" s="157" t="str">
        <f t="shared" si="244"/>
        <v>园区基础设施其他5000</v>
      </c>
      <c r="BN144" s="157"/>
      <c r="BO144" s="157">
        <f t="shared" si="245"/>
        <v>1</v>
      </c>
      <c r="BP144" s="157">
        <f t="shared" si="246"/>
        <v>0</v>
      </c>
      <c r="BQ144" s="157">
        <f t="shared" si="247"/>
        <v>0</v>
      </c>
      <c r="BR144" s="157">
        <f t="shared" si="248"/>
        <v>0</v>
      </c>
      <c r="BS144" s="157">
        <f t="shared" si="249"/>
        <v>1</v>
      </c>
      <c r="BT144" s="181"/>
      <c r="BU144" s="206"/>
      <c r="BW144" s="7"/>
      <c r="BX144" s="7"/>
      <c r="BY144" s="7"/>
      <c r="BZ144" s="7"/>
      <c r="CA144" s="7"/>
      <c r="CB144" s="4"/>
      <c r="CC144" s="4"/>
      <c r="CD144" s="4"/>
      <c r="CE144" s="4"/>
      <c r="CF144" s="4"/>
      <c r="CG144" s="4"/>
    </row>
    <row r="145" ht="60.6" customHeight="1" spans="1:85">
      <c r="A145" s="23">
        <f>SUBTOTAL(3,C$7:C145)</f>
        <v>110</v>
      </c>
      <c r="B145" s="55" t="s">
        <v>1456</v>
      </c>
      <c r="C145" s="23" t="s">
        <v>562</v>
      </c>
      <c r="D145" s="60" t="s">
        <v>1457</v>
      </c>
      <c r="E145" s="35" t="s">
        <v>564</v>
      </c>
      <c r="F145" s="36">
        <v>30000</v>
      </c>
      <c r="G145" s="36">
        <v>15500</v>
      </c>
      <c r="H145" s="123" t="s">
        <v>1458</v>
      </c>
      <c r="I145" s="724">
        <v>2500</v>
      </c>
      <c r="J145" s="724">
        <v>5000</v>
      </c>
      <c r="K145" s="724">
        <v>8500</v>
      </c>
      <c r="L145" s="724">
        <v>10000</v>
      </c>
      <c r="M145" s="38"/>
      <c r="N145" s="111"/>
      <c r="O145" s="67"/>
      <c r="P145" s="90" t="s">
        <v>2458</v>
      </c>
      <c r="Q145" s="90" t="s">
        <v>117</v>
      </c>
      <c r="R145" s="643">
        <v>22</v>
      </c>
      <c r="S145" s="643">
        <v>22</v>
      </c>
      <c r="T145" s="643"/>
      <c r="U145" s="643"/>
      <c r="V145" s="643"/>
      <c r="W145" s="643"/>
      <c r="X145" s="643"/>
      <c r="Y145" s="643"/>
      <c r="Z145" s="643"/>
      <c r="AA145" s="643"/>
      <c r="AB145" s="643"/>
      <c r="AC145" s="643"/>
      <c r="AD145" s="132">
        <v>10000</v>
      </c>
      <c r="AE145" s="132"/>
      <c r="AF145" s="643"/>
      <c r="AG145" s="643"/>
      <c r="AH145" s="132">
        <v>10000</v>
      </c>
      <c r="AI145" s="90"/>
      <c r="AJ145" s="90" t="s">
        <v>117</v>
      </c>
      <c r="AK145" s="123" t="s">
        <v>766</v>
      </c>
      <c r="AL145" s="129" t="s">
        <v>2427</v>
      </c>
      <c r="AM145" s="67" t="s">
        <v>185</v>
      </c>
      <c r="AN145" s="270"/>
      <c r="AO145" s="157"/>
      <c r="AP145" s="161" t="s">
        <v>2051</v>
      </c>
      <c r="AQ145" s="161" t="s">
        <v>2061</v>
      </c>
      <c r="AR145" s="158" t="str">
        <f t="shared" si="238"/>
        <v>园区基础设施其他</v>
      </c>
      <c r="AS145" s="158" t="s">
        <v>2018</v>
      </c>
      <c r="AT145" s="158"/>
      <c r="AU145" s="157"/>
      <c r="AV145" s="272"/>
      <c r="AW145" s="160"/>
      <c r="AX145" s="157"/>
      <c r="AY145" s="157"/>
      <c r="AZ145" s="157"/>
      <c r="BA145" s="157"/>
      <c r="BB145" s="157"/>
      <c r="BC145" s="157"/>
      <c r="BD145" s="157"/>
      <c r="BE145" s="157"/>
      <c r="BF145" s="157" t="s">
        <v>205</v>
      </c>
      <c r="BG145" s="203" t="s">
        <v>1980</v>
      </c>
      <c r="BH145" s="201" t="str">
        <f t="shared" si="239"/>
        <v>政府中马钦州产业园区管委</v>
      </c>
      <c r="BI145" s="201" t="str">
        <f t="shared" si="240"/>
        <v>基础设施中马钦州产业园区管委</v>
      </c>
      <c r="BJ145" s="204">
        <f t="shared" si="241"/>
        <v>0</v>
      </c>
      <c r="BK145" s="157" t="str">
        <f t="shared" si="242"/>
        <v>园区基础设施其他1000</v>
      </c>
      <c r="BL145" s="157" t="str">
        <f t="shared" si="243"/>
        <v>园区基础设施其他2000</v>
      </c>
      <c r="BM145" s="157" t="str">
        <f t="shared" si="244"/>
        <v>园区基础设施其他5000</v>
      </c>
      <c r="BN145" s="157"/>
      <c r="BO145" s="157">
        <f t="shared" si="245"/>
        <v>1</v>
      </c>
      <c r="BP145" s="157">
        <f t="shared" si="246"/>
        <v>0</v>
      </c>
      <c r="BQ145" s="157">
        <f t="shared" si="247"/>
        <v>0</v>
      </c>
      <c r="BR145" s="157">
        <f t="shared" si="248"/>
        <v>0</v>
      </c>
      <c r="BS145" s="157">
        <f t="shared" si="249"/>
        <v>1</v>
      </c>
      <c r="BT145" s="181"/>
      <c r="BU145" s="206"/>
      <c r="BW145" s="7"/>
      <c r="BX145" s="7"/>
      <c r="BY145" s="7"/>
      <c r="BZ145" s="7"/>
      <c r="CA145" s="7"/>
      <c r="CB145" s="4"/>
      <c r="CC145" s="4"/>
      <c r="CD145" s="4"/>
      <c r="CE145" s="4"/>
      <c r="CF145" s="4"/>
      <c r="CG145" s="4"/>
    </row>
    <row r="146" ht="60.6" customHeight="1" spans="1:85">
      <c r="A146" s="23">
        <f>SUBTOTAL(3,C$7:C146)</f>
        <v>111</v>
      </c>
      <c r="B146" s="55" t="s">
        <v>1459</v>
      </c>
      <c r="C146" s="156" t="s">
        <v>562</v>
      </c>
      <c r="D146" s="55" t="s">
        <v>2459</v>
      </c>
      <c r="E146" s="35" t="s">
        <v>564</v>
      </c>
      <c r="F146" s="36">
        <v>25000</v>
      </c>
      <c r="G146" s="35">
        <v>7180</v>
      </c>
      <c r="H146" s="34" t="s">
        <v>1461</v>
      </c>
      <c r="I146" s="35">
        <v>200</v>
      </c>
      <c r="J146" s="35">
        <v>560</v>
      </c>
      <c r="K146" s="35">
        <v>820</v>
      </c>
      <c r="L146" s="35">
        <v>1000</v>
      </c>
      <c r="M146" s="35"/>
      <c r="N146" s="111"/>
      <c r="O146" s="67"/>
      <c r="P146" s="90"/>
      <c r="Q146" s="90"/>
      <c r="R146" s="643">
        <v>22</v>
      </c>
      <c r="S146" s="643">
        <v>22</v>
      </c>
      <c r="T146" s="643"/>
      <c r="U146" s="643"/>
      <c r="V146" s="643"/>
      <c r="W146" s="643"/>
      <c r="X146" s="643"/>
      <c r="Y146" s="643"/>
      <c r="Z146" s="643"/>
      <c r="AA146" s="643"/>
      <c r="AB146" s="643"/>
      <c r="AC146" s="643"/>
      <c r="AD146" s="132">
        <v>10000</v>
      </c>
      <c r="AE146" s="132"/>
      <c r="AF146" s="643"/>
      <c r="AG146" s="643"/>
      <c r="AH146" s="132">
        <v>10000</v>
      </c>
      <c r="AI146" s="90"/>
      <c r="AJ146" s="90" t="s">
        <v>1462</v>
      </c>
      <c r="AK146" s="34" t="s">
        <v>591</v>
      </c>
      <c r="AL146" s="67" t="s">
        <v>2075</v>
      </c>
      <c r="AM146" s="92" t="s">
        <v>185</v>
      </c>
      <c r="AN146" s="270"/>
      <c r="AO146" s="157"/>
      <c r="AP146" s="161" t="s">
        <v>2051</v>
      </c>
      <c r="AQ146" s="161" t="s">
        <v>2061</v>
      </c>
      <c r="AR146" s="158" t="str">
        <f t="shared" si="238"/>
        <v>园区基础设施其他</v>
      </c>
      <c r="AS146" s="158" t="s">
        <v>2018</v>
      </c>
      <c r="AT146" s="158"/>
      <c r="AU146" s="157"/>
      <c r="AV146" s="272"/>
      <c r="AW146" s="160"/>
      <c r="AX146" s="157"/>
      <c r="AY146" s="157"/>
      <c r="AZ146" s="157"/>
      <c r="BA146" s="157"/>
      <c r="BB146" s="157"/>
      <c r="BC146" s="157"/>
      <c r="BD146" s="157"/>
      <c r="BE146" s="157"/>
      <c r="BF146" s="157" t="s">
        <v>205</v>
      </c>
      <c r="BG146" s="203" t="s">
        <v>1980</v>
      </c>
      <c r="BH146" s="201" t="str">
        <f t="shared" si="239"/>
        <v>政府中马钦州产业园区管委</v>
      </c>
      <c r="BI146" s="201" t="str">
        <f t="shared" si="240"/>
        <v>基础设施中马钦州产业园区管委</v>
      </c>
      <c r="BJ146" s="204">
        <f t="shared" si="241"/>
        <v>0</v>
      </c>
      <c r="BK146" s="157" t="str">
        <f t="shared" si="242"/>
        <v>园区基础设施其他1000</v>
      </c>
      <c r="BL146" s="157" t="str">
        <f t="shared" si="243"/>
        <v/>
      </c>
      <c r="BM146" s="157" t="str">
        <f t="shared" si="244"/>
        <v/>
      </c>
      <c r="BN146" s="157"/>
      <c r="BO146" s="157">
        <f t="shared" si="245"/>
        <v>1</v>
      </c>
      <c r="BP146" s="157">
        <f t="shared" si="246"/>
        <v>0</v>
      </c>
      <c r="BQ146" s="157">
        <f t="shared" si="247"/>
        <v>0</v>
      </c>
      <c r="BR146" s="157">
        <f t="shared" si="248"/>
        <v>0</v>
      </c>
      <c r="BS146" s="157">
        <f t="shared" si="249"/>
        <v>1</v>
      </c>
      <c r="BT146" s="181"/>
      <c r="BU146" s="206"/>
      <c r="BW146" s="7"/>
      <c r="BX146" s="7"/>
      <c r="BY146" s="7"/>
      <c r="BZ146" s="7"/>
      <c r="CA146" s="7"/>
      <c r="CB146" s="4"/>
      <c r="CC146" s="4"/>
      <c r="CD146" s="4"/>
      <c r="CE146" s="4"/>
      <c r="CF146" s="4"/>
      <c r="CG146" s="4"/>
    </row>
    <row r="147" ht="96.75" customHeight="1" spans="1:85">
      <c r="A147" s="23">
        <f>SUBTOTAL(3,C$7:C147)</f>
        <v>112</v>
      </c>
      <c r="B147" s="60" t="s">
        <v>1656</v>
      </c>
      <c r="C147" s="23" t="s">
        <v>562</v>
      </c>
      <c r="D147" s="60" t="s">
        <v>1657</v>
      </c>
      <c r="E147" s="23" t="s">
        <v>564</v>
      </c>
      <c r="F147" s="67">
        <v>5180</v>
      </c>
      <c r="G147" s="67">
        <v>2600</v>
      </c>
      <c r="H147" s="112" t="s">
        <v>1658</v>
      </c>
      <c r="I147" s="36">
        <v>250</v>
      </c>
      <c r="J147" s="36">
        <v>500</v>
      </c>
      <c r="K147" s="36">
        <v>750</v>
      </c>
      <c r="L147" s="67">
        <v>1000</v>
      </c>
      <c r="M147" s="67"/>
      <c r="N147" s="36"/>
      <c r="O147" s="639"/>
      <c r="P147" s="90" t="s">
        <v>2460</v>
      </c>
      <c r="Q147" s="90" t="s">
        <v>117</v>
      </c>
      <c r="R147" s="132"/>
      <c r="S147" s="132"/>
      <c r="T147" s="132"/>
      <c r="U147" s="132"/>
      <c r="V147" s="132"/>
      <c r="W147" s="132"/>
      <c r="X147" s="132"/>
      <c r="Y147" s="132"/>
      <c r="Z147" s="132"/>
      <c r="AA147" s="132"/>
      <c r="AB147" s="132"/>
      <c r="AC147" s="132"/>
      <c r="AD147" s="132"/>
      <c r="AE147" s="132"/>
      <c r="AF147" s="132"/>
      <c r="AG147" s="132">
        <v>1000</v>
      </c>
      <c r="AH147" s="132"/>
      <c r="AI147" s="90"/>
      <c r="AJ147" s="90" t="s">
        <v>117</v>
      </c>
      <c r="AK147" s="734" t="s">
        <v>1659</v>
      </c>
      <c r="AL147" s="735" t="s">
        <v>2461</v>
      </c>
      <c r="AM147" s="67" t="s">
        <v>166</v>
      </c>
      <c r="AN147" s="91"/>
      <c r="AO147" s="157"/>
      <c r="AP147" s="161" t="s">
        <v>2051</v>
      </c>
      <c r="AQ147" s="161" t="s">
        <v>2061</v>
      </c>
      <c r="AR147" s="158" t="str">
        <f t="shared" si="238"/>
        <v>园区基础设施其他</v>
      </c>
      <c r="AS147" s="158" t="s">
        <v>2018</v>
      </c>
      <c r="AT147" s="158"/>
      <c r="AU147" s="161"/>
      <c r="AV147" s="161"/>
      <c r="AW147" s="160"/>
      <c r="AX147" s="157"/>
      <c r="AY147" s="157"/>
      <c r="AZ147" s="157"/>
      <c r="BA147" s="157"/>
      <c r="BB147" s="157"/>
      <c r="BC147" s="157"/>
      <c r="BD147" s="157"/>
      <c r="BE147" s="157"/>
      <c r="BF147" s="201" t="s">
        <v>92</v>
      </c>
      <c r="BG147" s="203" t="s">
        <v>1980</v>
      </c>
      <c r="BH147" s="201" t="str">
        <f t="shared" si="239"/>
        <v>企业钦州保税港区管委</v>
      </c>
      <c r="BI147" s="201" t="str">
        <f t="shared" si="240"/>
        <v>基础设施钦州保税港区管委</v>
      </c>
      <c r="BJ147" s="204">
        <f t="shared" si="241"/>
        <v>0</v>
      </c>
      <c r="BK147" s="157" t="str">
        <f t="shared" si="242"/>
        <v>园区基础设施其他1000</v>
      </c>
      <c r="BL147" s="157" t="str">
        <f t="shared" si="243"/>
        <v/>
      </c>
      <c r="BM147" s="157" t="str">
        <f t="shared" si="244"/>
        <v/>
      </c>
      <c r="BN147" s="157"/>
      <c r="BO147" s="157">
        <f t="shared" si="245"/>
        <v>0</v>
      </c>
      <c r="BP147" s="157">
        <f t="shared" si="246"/>
        <v>0</v>
      </c>
      <c r="BQ147" s="157">
        <f t="shared" si="247"/>
        <v>0</v>
      </c>
      <c r="BR147" s="157">
        <f t="shared" si="248"/>
        <v>0</v>
      </c>
      <c r="BS147" s="157">
        <f t="shared" si="249"/>
        <v>0</v>
      </c>
      <c r="BT147" s="157"/>
      <c r="BU147" s="206"/>
      <c r="BW147" s="204"/>
      <c r="BX147" s="227"/>
      <c r="BY147" s="204"/>
      <c r="BZ147" s="204"/>
      <c r="CA147" s="204"/>
      <c r="CB147" s="4"/>
      <c r="CC147" s="4"/>
      <c r="CD147" s="4"/>
      <c r="CE147" s="4"/>
      <c r="CF147" s="4"/>
      <c r="CG147" s="4"/>
    </row>
    <row r="148" ht="74.25" customHeight="1" spans="1:85">
      <c r="A148" s="23">
        <f>SUBTOTAL(3,C$7:C148)</f>
        <v>113</v>
      </c>
      <c r="B148" s="60" t="s">
        <v>1685</v>
      </c>
      <c r="C148" s="246" t="s">
        <v>562</v>
      </c>
      <c r="D148" s="88" t="s">
        <v>1686</v>
      </c>
      <c r="E148" s="81" t="s">
        <v>575</v>
      </c>
      <c r="F148" s="37">
        <v>380000</v>
      </c>
      <c r="G148" s="36">
        <v>15800</v>
      </c>
      <c r="H148" s="112" t="s">
        <v>2462</v>
      </c>
      <c r="I148" s="36">
        <v>300</v>
      </c>
      <c r="J148" s="36">
        <v>700</v>
      </c>
      <c r="K148" s="36">
        <v>1200</v>
      </c>
      <c r="L148" s="36">
        <v>20000</v>
      </c>
      <c r="M148" s="36"/>
      <c r="N148" s="111"/>
      <c r="O148" s="67"/>
      <c r="P148" s="90" t="s">
        <v>2463</v>
      </c>
      <c r="Q148" s="90" t="s">
        <v>117</v>
      </c>
      <c r="R148" s="132">
        <v>421</v>
      </c>
      <c r="S148" s="132">
        <v>100</v>
      </c>
      <c r="T148" s="132">
        <v>321</v>
      </c>
      <c r="U148" s="132"/>
      <c r="V148" s="132"/>
      <c r="W148" s="132"/>
      <c r="X148" s="132"/>
      <c r="Y148" s="132"/>
      <c r="Z148" s="132"/>
      <c r="AA148" s="132"/>
      <c r="AB148" s="132"/>
      <c r="AC148" s="132"/>
      <c r="AD148" s="132"/>
      <c r="AE148" s="132"/>
      <c r="AF148" s="132"/>
      <c r="AG148" s="132"/>
      <c r="AH148" s="132"/>
      <c r="AI148" s="90"/>
      <c r="AJ148" s="90" t="s">
        <v>1688</v>
      </c>
      <c r="AK148" s="123" t="s">
        <v>2464</v>
      </c>
      <c r="AL148" s="67" t="s">
        <v>2465</v>
      </c>
      <c r="AM148" s="35" t="s">
        <v>375</v>
      </c>
      <c r="AN148" s="91"/>
      <c r="AO148" s="157"/>
      <c r="AP148" s="161" t="s">
        <v>2051</v>
      </c>
      <c r="AQ148" s="158" t="s">
        <v>2061</v>
      </c>
      <c r="AR148" s="158" t="str">
        <f t="shared" si="238"/>
        <v>园区基础设施其他</v>
      </c>
      <c r="AS148" s="158" t="s">
        <v>2018</v>
      </c>
      <c r="AT148" s="158"/>
      <c r="AU148" s="157"/>
      <c r="AV148" s="159"/>
      <c r="AW148" s="160"/>
      <c r="AX148" s="157"/>
      <c r="AY148" s="157"/>
      <c r="AZ148" s="157"/>
      <c r="BA148" s="157"/>
      <c r="BB148" s="157"/>
      <c r="BC148" s="157"/>
      <c r="BD148" s="157"/>
      <c r="BE148" s="157"/>
      <c r="BF148" s="157" t="s">
        <v>92</v>
      </c>
      <c r="BG148" s="203" t="s">
        <v>1980</v>
      </c>
      <c r="BH148" s="201" t="str">
        <f t="shared" si="239"/>
        <v>企业钦北区人民政府</v>
      </c>
      <c r="BI148" s="201" t="str">
        <f t="shared" si="240"/>
        <v>基础设施钦北区人民政府</v>
      </c>
      <c r="BJ148" s="204">
        <f t="shared" si="241"/>
        <v>0</v>
      </c>
      <c r="BK148" s="157" t="str">
        <f t="shared" si="242"/>
        <v>园区基础设施其他1000</v>
      </c>
      <c r="BL148" s="157" t="str">
        <f t="shared" si="243"/>
        <v>园区基础设施其他2000</v>
      </c>
      <c r="BM148" s="157" t="str">
        <f t="shared" si="244"/>
        <v>园区基础设施其他5000</v>
      </c>
      <c r="BN148" s="157"/>
      <c r="BO148" s="157">
        <f t="shared" si="245"/>
        <v>1</v>
      </c>
      <c r="BP148" s="157">
        <f t="shared" si="246"/>
        <v>0</v>
      </c>
      <c r="BQ148" s="157">
        <f t="shared" si="247"/>
        <v>0</v>
      </c>
      <c r="BR148" s="157">
        <f t="shared" si="248"/>
        <v>0</v>
      </c>
      <c r="BS148" s="157">
        <f t="shared" si="249"/>
        <v>0</v>
      </c>
      <c r="BT148" s="181"/>
      <c r="BU148" s="206"/>
      <c r="BW148" s="7" t="s">
        <v>1890</v>
      </c>
      <c r="CB148" s="4"/>
      <c r="CC148" s="4"/>
      <c r="CD148" s="4"/>
      <c r="CE148" s="4"/>
      <c r="CF148" s="4"/>
      <c r="CG148" s="4"/>
    </row>
    <row r="149" ht="77.25" customHeight="1" spans="1:85">
      <c r="A149" s="23">
        <f>SUBTOTAL(3,C$7:C149)</f>
        <v>114</v>
      </c>
      <c r="B149" s="60" t="s">
        <v>1690</v>
      </c>
      <c r="C149" s="23" t="s">
        <v>562</v>
      </c>
      <c r="D149" s="60" t="s">
        <v>1691</v>
      </c>
      <c r="E149" s="23" t="s">
        <v>564</v>
      </c>
      <c r="F149" s="67">
        <v>57143</v>
      </c>
      <c r="G149" s="36">
        <v>9500</v>
      </c>
      <c r="H149" s="112" t="s">
        <v>1692</v>
      </c>
      <c r="I149" s="36">
        <v>500</v>
      </c>
      <c r="J149" s="36">
        <v>1100</v>
      </c>
      <c r="K149" s="36">
        <v>1800</v>
      </c>
      <c r="L149" s="36">
        <v>3000</v>
      </c>
      <c r="M149" s="36"/>
      <c r="N149" s="111"/>
      <c r="O149" s="67"/>
      <c r="P149" s="90" t="s">
        <v>2466</v>
      </c>
      <c r="Q149" s="90" t="s">
        <v>117</v>
      </c>
      <c r="R149" s="132">
        <v>316</v>
      </c>
      <c r="S149" s="132">
        <v>316</v>
      </c>
      <c r="T149" s="132"/>
      <c r="U149" s="132"/>
      <c r="V149" s="132"/>
      <c r="W149" s="132"/>
      <c r="X149" s="132"/>
      <c r="Y149" s="132"/>
      <c r="Z149" s="132"/>
      <c r="AA149" s="132"/>
      <c r="AB149" s="132"/>
      <c r="AC149" s="132"/>
      <c r="AD149" s="132">
        <v>6000</v>
      </c>
      <c r="AE149" s="132"/>
      <c r="AF149" s="132">
        <v>2000</v>
      </c>
      <c r="AG149" s="132"/>
      <c r="AH149" s="132">
        <v>4000</v>
      </c>
      <c r="AI149" s="90"/>
      <c r="AJ149" s="90" t="s">
        <v>806</v>
      </c>
      <c r="AK149" s="123" t="s">
        <v>807</v>
      </c>
      <c r="AL149" s="67" t="s">
        <v>2467</v>
      </c>
      <c r="AM149" s="35" t="s">
        <v>375</v>
      </c>
      <c r="AN149" s="91"/>
      <c r="AO149" s="157"/>
      <c r="AP149" s="161" t="s">
        <v>2051</v>
      </c>
      <c r="AQ149" s="158" t="s">
        <v>2061</v>
      </c>
      <c r="AR149" s="158" t="str">
        <f t="shared" si="238"/>
        <v>园区基础设施其他</v>
      </c>
      <c r="AS149" s="158" t="s">
        <v>2018</v>
      </c>
      <c r="AT149" s="158"/>
      <c r="AU149" s="157"/>
      <c r="AV149" s="159"/>
      <c r="AW149" s="160"/>
      <c r="AX149" s="157"/>
      <c r="AY149" s="157"/>
      <c r="AZ149" s="157"/>
      <c r="BA149" s="157"/>
      <c r="BB149" s="157"/>
      <c r="BC149" s="157"/>
      <c r="BD149" s="157"/>
      <c r="BE149" s="157"/>
      <c r="BF149" s="157" t="s">
        <v>92</v>
      </c>
      <c r="BG149" s="203" t="s">
        <v>1980</v>
      </c>
      <c r="BH149" s="201" t="str">
        <f t="shared" si="239"/>
        <v>企业钦北区人民政府</v>
      </c>
      <c r="BI149" s="201" t="str">
        <f t="shared" si="240"/>
        <v>基础设施钦北区人民政府</v>
      </c>
      <c r="BJ149" s="204">
        <f t="shared" si="241"/>
        <v>0</v>
      </c>
      <c r="BK149" s="157" t="str">
        <f t="shared" si="242"/>
        <v>园区基础设施其他1000</v>
      </c>
      <c r="BL149" s="157" t="str">
        <f t="shared" si="243"/>
        <v>园区基础设施其他2000</v>
      </c>
      <c r="BM149" s="157" t="str">
        <f t="shared" si="244"/>
        <v/>
      </c>
      <c r="BN149" s="157"/>
      <c r="BO149" s="157">
        <f t="shared" si="245"/>
        <v>1</v>
      </c>
      <c r="BP149" s="157">
        <f t="shared" si="246"/>
        <v>0</v>
      </c>
      <c r="BQ149" s="157">
        <f t="shared" si="247"/>
        <v>0</v>
      </c>
      <c r="BR149" s="157">
        <f t="shared" si="248"/>
        <v>0</v>
      </c>
      <c r="BS149" s="157">
        <f t="shared" si="249"/>
        <v>1</v>
      </c>
      <c r="BT149" s="181"/>
      <c r="BU149" s="206"/>
      <c r="CB149" s="4"/>
      <c r="CC149" s="4"/>
      <c r="CD149" s="4"/>
      <c r="CE149" s="4"/>
      <c r="CF149" s="4"/>
      <c r="CG149" s="4"/>
    </row>
    <row r="150" ht="69" customHeight="1" spans="1:85">
      <c r="A150" s="23">
        <f>SUBTOTAL(3,C$7:C150)</f>
        <v>115</v>
      </c>
      <c r="B150" s="243" t="s">
        <v>1076</v>
      </c>
      <c r="C150" s="35" t="s">
        <v>562</v>
      </c>
      <c r="D150" s="232" t="s">
        <v>2468</v>
      </c>
      <c r="E150" s="35" t="s">
        <v>575</v>
      </c>
      <c r="F150" s="35">
        <v>19924</v>
      </c>
      <c r="G150" s="35">
        <v>2000</v>
      </c>
      <c r="H150" s="123" t="s">
        <v>1078</v>
      </c>
      <c r="I150" s="67">
        <v>350</v>
      </c>
      <c r="J150" s="67">
        <v>750</v>
      </c>
      <c r="K150" s="67">
        <v>1100</v>
      </c>
      <c r="L150" s="35">
        <v>3000</v>
      </c>
      <c r="M150" s="35"/>
      <c r="N150" s="61"/>
      <c r="O150" s="725"/>
      <c r="P150" s="55" t="s">
        <v>2469</v>
      </c>
      <c r="Q150" s="90" t="s">
        <v>2470</v>
      </c>
      <c r="R150" s="132">
        <v>262.2</v>
      </c>
      <c r="S150" s="132"/>
      <c r="T150" s="132">
        <v>262.2</v>
      </c>
      <c r="U150" s="132">
        <v>261.8925</v>
      </c>
      <c r="V150" s="132">
        <v>261.8925</v>
      </c>
      <c r="W150" s="132"/>
      <c r="X150" s="132"/>
      <c r="Y150" s="132"/>
      <c r="Z150" s="132"/>
      <c r="AA150" s="132"/>
      <c r="AB150" s="132"/>
      <c r="AC150" s="132"/>
      <c r="AD150" s="99">
        <v>900</v>
      </c>
      <c r="AE150" s="165"/>
      <c r="AF150" s="606"/>
      <c r="AG150" s="99">
        <v>19024</v>
      </c>
      <c r="AH150" s="595"/>
      <c r="AI150" s="90"/>
      <c r="AJ150" s="90" t="s">
        <v>789</v>
      </c>
      <c r="AK150" s="34" t="s">
        <v>785</v>
      </c>
      <c r="AL150" s="67" t="s">
        <v>2038</v>
      </c>
      <c r="AM150" s="35" t="s">
        <v>317</v>
      </c>
      <c r="AN150" s="91"/>
      <c r="AO150" s="157"/>
      <c r="AP150" s="161" t="s">
        <v>2051</v>
      </c>
      <c r="AQ150" s="158" t="s">
        <v>2061</v>
      </c>
      <c r="AR150" s="158" t="str">
        <f t="shared" si="238"/>
        <v>园区基础设施其他</v>
      </c>
      <c r="AS150" s="158" t="s">
        <v>2018</v>
      </c>
      <c r="AT150" s="158"/>
      <c r="AU150" s="157"/>
      <c r="AV150" s="159"/>
      <c r="AW150" s="160"/>
      <c r="AX150" s="157"/>
      <c r="AY150" s="157"/>
      <c r="AZ150" s="157"/>
      <c r="BA150" s="157"/>
      <c r="BB150" s="157"/>
      <c r="BC150" s="157"/>
      <c r="BD150" s="157"/>
      <c r="BE150" s="157"/>
      <c r="BF150" s="201" t="s">
        <v>205</v>
      </c>
      <c r="BG150" s="203" t="s">
        <v>1980</v>
      </c>
      <c r="BH150" s="201" t="str">
        <f t="shared" si="239"/>
        <v>政府浦北县人民政府</v>
      </c>
      <c r="BI150" s="201" t="str">
        <f t="shared" si="240"/>
        <v>基础设施浦北县人民政府</v>
      </c>
      <c r="BJ150" s="204">
        <f t="shared" si="241"/>
        <v>0</v>
      </c>
      <c r="BK150" s="157" t="str">
        <f t="shared" si="242"/>
        <v>园区基础设施其他1000</v>
      </c>
      <c r="BL150" s="157" t="str">
        <f t="shared" si="243"/>
        <v>园区基础设施其他2000</v>
      </c>
      <c r="BM150" s="157" t="str">
        <f t="shared" si="244"/>
        <v/>
      </c>
      <c r="BN150" s="157"/>
      <c r="BO150" s="157">
        <f t="shared" si="245"/>
        <v>1</v>
      </c>
      <c r="BP150" s="157">
        <f t="shared" si="246"/>
        <v>0</v>
      </c>
      <c r="BQ150" s="157">
        <f t="shared" si="247"/>
        <v>1</v>
      </c>
      <c r="BR150" s="157">
        <f t="shared" si="248"/>
        <v>0</v>
      </c>
      <c r="BS150" s="157">
        <f t="shared" si="249"/>
        <v>1</v>
      </c>
      <c r="BT150" s="157"/>
      <c r="BU150" s="206"/>
      <c r="CB150" s="4"/>
      <c r="CC150" s="4"/>
      <c r="CD150" s="4"/>
      <c r="CE150" s="4"/>
      <c r="CF150" s="4"/>
      <c r="CG150" s="4"/>
    </row>
    <row r="151" s="9" customFormat="1" ht="30" customHeight="1" spans="1:72">
      <c r="A151" s="551" t="s">
        <v>2099</v>
      </c>
      <c r="B151" s="557" t="str">
        <f>"农林水（"&amp;SUBTOTAL(3,C152:C160)&amp;"个）"</f>
        <v>农林水（9个）</v>
      </c>
      <c r="C151" s="557"/>
      <c r="D151" s="557"/>
      <c r="E151" s="551"/>
      <c r="F151" s="134">
        <f t="shared" ref="F151:M151" si="250">SUBTOTAL(9,F152:F160)</f>
        <v>360618</v>
      </c>
      <c r="G151" s="134">
        <f t="shared" si="250"/>
        <v>80066</v>
      </c>
      <c r="H151" s="134"/>
      <c r="I151" s="134">
        <f t="shared" si="250"/>
        <v>8110</v>
      </c>
      <c r="J151" s="134">
        <f t="shared" si="250"/>
        <v>20000</v>
      </c>
      <c r="K151" s="134">
        <f t="shared" si="250"/>
        <v>31650</v>
      </c>
      <c r="L151" s="134">
        <f t="shared" si="250"/>
        <v>41700</v>
      </c>
      <c r="M151" s="134">
        <f t="shared" si="250"/>
        <v>0</v>
      </c>
      <c r="N151" s="67"/>
      <c r="O151" s="67"/>
      <c r="P151" s="674"/>
      <c r="Q151" s="90"/>
      <c r="R151" s="132"/>
      <c r="S151" s="132"/>
      <c r="T151" s="132"/>
      <c r="U151" s="132"/>
      <c r="V151" s="132"/>
      <c r="W151" s="132"/>
      <c r="X151" s="132"/>
      <c r="Y151" s="132"/>
      <c r="Z151" s="132"/>
      <c r="AA151" s="132"/>
      <c r="AB151" s="132"/>
      <c r="AC151" s="132"/>
      <c r="AD151" s="132"/>
      <c r="AE151" s="132"/>
      <c r="AF151" s="132"/>
      <c r="AG151" s="132"/>
      <c r="AH151" s="132"/>
      <c r="AI151" s="90"/>
      <c r="AJ151" s="90"/>
      <c r="AK151" s="591"/>
      <c r="AL151" s="134"/>
      <c r="AM151" s="134"/>
      <c r="AN151" s="91"/>
      <c r="AO151" s="165"/>
      <c r="AP151" s="158"/>
      <c r="AQ151" s="158"/>
      <c r="AR151" s="158"/>
      <c r="AS151" s="158"/>
      <c r="AT151" s="158"/>
      <c r="AU151" s="165"/>
      <c r="AV151" s="169"/>
      <c r="AW151" s="165"/>
      <c r="AX151" s="165"/>
      <c r="AY151" s="165"/>
      <c r="AZ151" s="165"/>
      <c r="BA151" s="165"/>
      <c r="BB151" s="169"/>
      <c r="BC151" s="169"/>
      <c r="BD151" s="169"/>
      <c r="BE151" s="165"/>
      <c r="BF151" s="201"/>
      <c r="BG151" s="685"/>
      <c r="BK151" s="201"/>
      <c r="BL151" s="201"/>
      <c r="BM151" s="201"/>
      <c r="BN151" s="201"/>
      <c r="BO151" s="201"/>
      <c r="BP151" s="201"/>
      <c r="BQ151" s="201"/>
      <c r="BR151" s="201"/>
      <c r="BS151" s="201"/>
      <c r="BT151" s="7"/>
    </row>
    <row r="152" ht="177" customHeight="1" spans="1:85">
      <c r="A152" s="23">
        <f>SUBTOTAL(3,C$7:C152)</f>
        <v>116</v>
      </c>
      <c r="B152" s="55" t="s">
        <v>1577</v>
      </c>
      <c r="C152" s="55" t="s">
        <v>562</v>
      </c>
      <c r="D152" s="55" t="s">
        <v>1578</v>
      </c>
      <c r="E152" s="35" t="s">
        <v>575</v>
      </c>
      <c r="F152" s="35">
        <v>36363</v>
      </c>
      <c r="G152" s="35">
        <v>9021</v>
      </c>
      <c r="H152" s="123" t="s">
        <v>1579</v>
      </c>
      <c r="I152" s="67">
        <v>1500</v>
      </c>
      <c r="J152" s="67">
        <v>4000</v>
      </c>
      <c r="K152" s="67">
        <v>7000</v>
      </c>
      <c r="L152" s="35">
        <v>10000</v>
      </c>
      <c r="M152" s="35"/>
      <c r="N152" s="111"/>
      <c r="O152" s="67"/>
      <c r="P152" s="55" t="s">
        <v>2471</v>
      </c>
      <c r="Q152" s="90" t="s">
        <v>2472</v>
      </c>
      <c r="R152" s="132">
        <v>345.26</v>
      </c>
      <c r="S152" s="132">
        <v>31.07</v>
      </c>
      <c r="T152" s="132">
        <v>314</v>
      </c>
      <c r="U152" s="132">
        <v>499</v>
      </c>
      <c r="V152" s="132"/>
      <c r="W152" s="132">
        <v>499</v>
      </c>
      <c r="X152" s="132"/>
      <c r="Y152" s="132"/>
      <c r="Z152" s="132"/>
      <c r="AA152" s="132"/>
      <c r="AB152" s="132"/>
      <c r="AC152" s="132"/>
      <c r="AD152" s="132">
        <v>10000</v>
      </c>
      <c r="AE152" s="132"/>
      <c r="AF152" s="132">
        <v>2500</v>
      </c>
      <c r="AG152" s="132"/>
      <c r="AH152" s="132">
        <v>7500</v>
      </c>
      <c r="AI152" s="90"/>
      <c r="AJ152" s="55" t="s">
        <v>1580</v>
      </c>
      <c r="AK152" s="34" t="s">
        <v>1581</v>
      </c>
      <c r="AL152" s="35" t="s">
        <v>2473</v>
      </c>
      <c r="AM152" s="35" t="s">
        <v>1582</v>
      </c>
      <c r="AN152" s="91"/>
      <c r="AO152" s="157"/>
      <c r="AP152" s="158" t="s">
        <v>2104</v>
      </c>
      <c r="AQ152" s="158" t="s">
        <v>2105</v>
      </c>
      <c r="AR152" s="158" t="str">
        <f t="shared" ref="AR152:AR160" si="251">AQ152&amp;AP152</f>
        <v>农林水水利</v>
      </c>
      <c r="AS152" s="158" t="str">
        <f>AP152</f>
        <v>水利</v>
      </c>
      <c r="AT152" s="158"/>
      <c r="AU152" s="157"/>
      <c r="AV152" s="272"/>
      <c r="AW152" s="160"/>
      <c r="AX152" s="157"/>
      <c r="AY152" s="157"/>
      <c r="AZ152" s="157"/>
      <c r="BA152" s="157"/>
      <c r="BB152" s="157"/>
      <c r="BC152" s="157"/>
      <c r="BD152" s="157"/>
      <c r="BE152" s="157"/>
      <c r="BF152" s="157" t="s">
        <v>92</v>
      </c>
      <c r="BG152" s="203" t="s">
        <v>1980</v>
      </c>
      <c r="BH152" s="201" t="str">
        <f t="shared" ref="BH152:BH160" si="252">BF152&amp;AM152</f>
        <v>企业市水利局</v>
      </c>
      <c r="BI152" s="201" t="str">
        <f t="shared" ref="BI152:BI160" si="253">BG152&amp;AM152</f>
        <v>基础设施市水利局</v>
      </c>
      <c r="BJ152" s="204">
        <f t="shared" ref="BJ152:BJ160" si="254">IF(N152&gt;0,1,0)</f>
        <v>0</v>
      </c>
      <c r="BK152" s="157" t="str">
        <f t="shared" ref="BK152:BK160" si="255">IF(L152&lt;1000,"",AR152&amp;"1000")</f>
        <v>农林水水利1000</v>
      </c>
      <c r="BL152" s="157" t="str">
        <f t="shared" ref="BL152:BL160" si="256">IF(L152&lt;2000,"",AR152&amp;"2000")</f>
        <v>农林水水利2000</v>
      </c>
      <c r="BM152" s="157" t="str">
        <f t="shared" ref="BM152:BM160" si="257">IF(L152&lt;5000,"",AR152&amp;"5000")</f>
        <v>农林水水利5000</v>
      </c>
      <c r="BN152" s="157"/>
      <c r="BO152" s="157">
        <f t="shared" ref="BO152:BO160" si="258">IF(R152&gt;0,1,0)</f>
        <v>1</v>
      </c>
      <c r="BP152" s="157">
        <f t="shared" ref="BP152:BP160" si="259">IF(X152&gt;0,1,0)</f>
        <v>0</v>
      </c>
      <c r="BQ152" s="157">
        <f t="shared" ref="BQ152:BQ160" si="260">IF(U152&gt;0,1,0)</f>
        <v>1</v>
      </c>
      <c r="BR152" s="157">
        <f t="shared" ref="BR152:BR160" si="261">IF(AA152&gt;0,1,0)</f>
        <v>0</v>
      </c>
      <c r="BS152" s="157">
        <f t="shared" ref="BS152:BS160" si="262">IF(AD152&gt;0,1,0)</f>
        <v>1</v>
      </c>
      <c r="BT152" s="181"/>
      <c r="BU152" s="206"/>
      <c r="BX152" s="206"/>
      <c r="CB152" s="4"/>
      <c r="CC152" s="4"/>
      <c r="CD152" s="4"/>
      <c r="CE152" s="4"/>
      <c r="CF152" s="4"/>
      <c r="CG152" s="4"/>
    </row>
    <row r="153" s="9" customFormat="1" ht="93.75" customHeight="1" spans="1:79">
      <c r="A153" s="23">
        <f>SUBTOTAL(3,C$7:C153)</f>
        <v>117</v>
      </c>
      <c r="B153" s="55" t="s">
        <v>715</v>
      </c>
      <c r="C153" s="35" t="s">
        <v>562</v>
      </c>
      <c r="D153" s="55" t="s">
        <v>716</v>
      </c>
      <c r="E153" s="35" t="s">
        <v>604</v>
      </c>
      <c r="F153" s="38">
        <v>25000</v>
      </c>
      <c r="G153" s="38">
        <v>1500</v>
      </c>
      <c r="H153" s="123" t="s">
        <v>717</v>
      </c>
      <c r="I153" s="67"/>
      <c r="J153" s="67">
        <v>300</v>
      </c>
      <c r="K153" s="67">
        <v>1000</v>
      </c>
      <c r="L153" s="38">
        <v>2500</v>
      </c>
      <c r="M153" s="38"/>
      <c r="N153" s="111"/>
      <c r="O153" s="134"/>
      <c r="P153" s="90" t="s">
        <v>2474</v>
      </c>
      <c r="Q153" s="137" t="s">
        <v>117</v>
      </c>
      <c r="R153" s="132"/>
      <c r="S153" s="132"/>
      <c r="T153" s="132"/>
      <c r="U153" s="132"/>
      <c r="V153" s="132"/>
      <c r="W153" s="132"/>
      <c r="X153" s="132"/>
      <c r="Y153" s="132"/>
      <c r="Z153" s="132"/>
      <c r="AA153" s="132"/>
      <c r="AB153" s="132"/>
      <c r="AC153" s="132"/>
      <c r="AD153" s="132"/>
      <c r="AE153" s="132"/>
      <c r="AF153" s="132"/>
      <c r="AG153" s="132"/>
      <c r="AH153" s="132"/>
      <c r="AI153" s="90"/>
      <c r="AJ153" s="90" t="s">
        <v>718</v>
      </c>
      <c r="AK153" s="34" t="s">
        <v>2475</v>
      </c>
      <c r="AL153" s="35" t="s">
        <v>2476</v>
      </c>
      <c r="AM153" s="35" t="s">
        <v>720</v>
      </c>
      <c r="AN153" s="35" t="s">
        <v>721</v>
      </c>
      <c r="AO153" s="157"/>
      <c r="AP153" s="158" t="s">
        <v>2477</v>
      </c>
      <c r="AQ153" s="158" t="s">
        <v>2105</v>
      </c>
      <c r="AR153" s="158" t="str">
        <f t="shared" si="251"/>
        <v>农林水牧渔业</v>
      </c>
      <c r="AS153" s="158" t="str">
        <f t="shared" ref="AS153:AS160" si="263">AP153</f>
        <v>牧渔业</v>
      </c>
      <c r="AT153" s="158"/>
      <c r="AU153" s="157"/>
      <c r="AV153" s="272"/>
      <c r="AW153" s="160"/>
      <c r="AX153" s="157"/>
      <c r="AY153" s="157"/>
      <c r="AZ153" s="157"/>
      <c r="BA153" s="157"/>
      <c r="BB153" s="157"/>
      <c r="BC153" s="157"/>
      <c r="BD153" s="157"/>
      <c r="BE153" s="157"/>
      <c r="BF153" s="157" t="s">
        <v>205</v>
      </c>
      <c r="BG153" s="203" t="s">
        <v>93</v>
      </c>
      <c r="BH153" s="201" t="str">
        <f t="shared" si="252"/>
        <v>政府市农业农村局</v>
      </c>
      <c r="BI153" s="201" t="str">
        <f t="shared" si="253"/>
        <v>产业市农业农村局</v>
      </c>
      <c r="BJ153" s="204">
        <f t="shared" si="254"/>
        <v>0</v>
      </c>
      <c r="BK153" s="157" t="str">
        <f t="shared" si="255"/>
        <v>农林水牧渔业1000</v>
      </c>
      <c r="BL153" s="157" t="str">
        <f t="shared" si="256"/>
        <v>农林水牧渔业2000</v>
      </c>
      <c r="BM153" s="157" t="str">
        <f t="shared" si="257"/>
        <v/>
      </c>
      <c r="BN153" s="157"/>
      <c r="BO153" s="157">
        <f t="shared" si="258"/>
        <v>0</v>
      </c>
      <c r="BP153" s="157">
        <f t="shared" si="259"/>
        <v>0</v>
      </c>
      <c r="BQ153" s="157">
        <f t="shared" si="260"/>
        <v>0</v>
      </c>
      <c r="BR153" s="157">
        <f t="shared" si="261"/>
        <v>0</v>
      </c>
      <c r="BS153" s="157">
        <f t="shared" si="262"/>
        <v>0</v>
      </c>
      <c r="BT153" s="181"/>
      <c r="BU153" s="206"/>
      <c r="BW153" s="206"/>
      <c r="BX153" s="206"/>
      <c r="BY153" s="206"/>
      <c r="BZ153" s="206"/>
      <c r="CA153" s="206"/>
    </row>
    <row r="154" ht="70.5" customHeight="1" spans="1:85">
      <c r="A154" s="23">
        <f>SUBTOTAL(3,C$7:C154)</f>
        <v>118</v>
      </c>
      <c r="B154" s="55" t="s">
        <v>723</v>
      </c>
      <c r="C154" s="35" t="s">
        <v>562</v>
      </c>
      <c r="D154" s="55" t="s">
        <v>724</v>
      </c>
      <c r="E154" s="35" t="s">
        <v>725</v>
      </c>
      <c r="F154" s="36">
        <v>125980</v>
      </c>
      <c r="G154" s="36">
        <v>33486</v>
      </c>
      <c r="H154" s="123" t="s">
        <v>726</v>
      </c>
      <c r="I154" s="581">
        <v>200</v>
      </c>
      <c r="J154" s="581">
        <v>800</v>
      </c>
      <c r="K154" s="581">
        <v>1300</v>
      </c>
      <c r="L154" s="36">
        <v>2000</v>
      </c>
      <c r="M154" s="36"/>
      <c r="N154" s="111"/>
      <c r="O154" s="67"/>
      <c r="P154" s="90" t="s">
        <v>2478</v>
      </c>
      <c r="Q154" s="90" t="s">
        <v>117</v>
      </c>
      <c r="R154" s="132">
        <v>500</v>
      </c>
      <c r="S154" s="132">
        <v>254</v>
      </c>
      <c r="T154" s="132">
        <v>246</v>
      </c>
      <c r="U154" s="132">
        <v>1000</v>
      </c>
      <c r="V154" s="132">
        <v>300</v>
      </c>
      <c r="W154" s="132">
        <v>700</v>
      </c>
      <c r="X154" s="132"/>
      <c r="Y154" s="132"/>
      <c r="Z154" s="132"/>
      <c r="AA154" s="132">
        <v>3</v>
      </c>
      <c r="AB154" s="132"/>
      <c r="AC154" s="132">
        <v>3</v>
      </c>
      <c r="AD154" s="132">
        <v>2000</v>
      </c>
      <c r="AE154" s="132"/>
      <c r="AF154" s="132">
        <v>2000</v>
      </c>
      <c r="AG154" s="132"/>
      <c r="AH154" s="132"/>
      <c r="AI154" s="90"/>
      <c r="AJ154" s="90" t="s">
        <v>727</v>
      </c>
      <c r="AK154" s="34" t="s">
        <v>728</v>
      </c>
      <c r="AL154" s="35" t="s">
        <v>2479</v>
      </c>
      <c r="AM154" s="35" t="s">
        <v>359</v>
      </c>
      <c r="AN154" s="91"/>
      <c r="AO154" s="157"/>
      <c r="AP154" s="158" t="s">
        <v>722</v>
      </c>
      <c r="AQ154" s="158" t="s">
        <v>2105</v>
      </c>
      <c r="AR154" s="158" t="str">
        <f t="shared" si="251"/>
        <v>农林水农业</v>
      </c>
      <c r="AS154" s="158" t="str">
        <f t="shared" si="263"/>
        <v>农业</v>
      </c>
      <c r="AT154" s="158"/>
      <c r="AU154" s="161"/>
      <c r="AV154" s="161"/>
      <c r="AW154" s="160"/>
      <c r="AX154" s="157"/>
      <c r="AY154" s="157"/>
      <c r="AZ154" s="157"/>
      <c r="BA154" s="157"/>
      <c r="BB154" s="157"/>
      <c r="BC154" s="157"/>
      <c r="BD154" s="157"/>
      <c r="BE154" s="157"/>
      <c r="BF154" s="201" t="s">
        <v>92</v>
      </c>
      <c r="BG154" s="203" t="s">
        <v>93</v>
      </c>
      <c r="BH154" s="201" t="str">
        <f t="shared" si="252"/>
        <v>企业钦南区人民政府</v>
      </c>
      <c r="BI154" s="201" t="str">
        <f t="shared" si="253"/>
        <v>产业钦南区人民政府</v>
      </c>
      <c r="BJ154" s="204">
        <f t="shared" si="254"/>
        <v>0</v>
      </c>
      <c r="BK154" s="157" t="str">
        <f t="shared" si="255"/>
        <v>农林水农业1000</v>
      </c>
      <c r="BL154" s="157" t="str">
        <f t="shared" si="256"/>
        <v>农林水农业2000</v>
      </c>
      <c r="BM154" s="157" t="str">
        <f t="shared" si="257"/>
        <v/>
      </c>
      <c r="BN154" s="157"/>
      <c r="BO154" s="157">
        <f t="shared" si="258"/>
        <v>1</v>
      </c>
      <c r="BP154" s="157">
        <f t="shared" si="259"/>
        <v>0</v>
      </c>
      <c r="BQ154" s="157">
        <f t="shared" si="260"/>
        <v>1</v>
      </c>
      <c r="BR154" s="157">
        <f t="shared" si="261"/>
        <v>1</v>
      </c>
      <c r="BS154" s="157">
        <f t="shared" si="262"/>
        <v>1</v>
      </c>
      <c r="BT154" s="181"/>
      <c r="BU154" s="206"/>
      <c r="BW154" s="7" t="s">
        <v>1890</v>
      </c>
      <c r="BX154" s="7"/>
      <c r="BY154" s="7"/>
      <c r="BZ154" s="7"/>
      <c r="CA154" s="7"/>
      <c r="CB154" s="4"/>
      <c r="CC154" s="4"/>
      <c r="CD154" s="4"/>
      <c r="CE154" s="4"/>
      <c r="CF154" s="4"/>
      <c r="CG154" s="4"/>
    </row>
    <row r="155" ht="70.5" customHeight="1" spans="1:85">
      <c r="A155" s="23">
        <f>SUBTOTAL(3,C$7:C155)</f>
        <v>119</v>
      </c>
      <c r="B155" s="55" t="s">
        <v>729</v>
      </c>
      <c r="C155" s="35" t="s">
        <v>562</v>
      </c>
      <c r="D155" s="233" t="s">
        <v>730</v>
      </c>
      <c r="E155" s="87" t="s">
        <v>575</v>
      </c>
      <c r="F155" s="234">
        <v>60000</v>
      </c>
      <c r="G155" s="234">
        <v>5000</v>
      </c>
      <c r="H155" s="123" t="s">
        <v>731</v>
      </c>
      <c r="I155" s="581">
        <v>560</v>
      </c>
      <c r="J155" s="581">
        <v>1500</v>
      </c>
      <c r="K155" s="581">
        <v>2100</v>
      </c>
      <c r="L155" s="234">
        <v>3000</v>
      </c>
      <c r="M155" s="234"/>
      <c r="N155" s="111"/>
      <c r="O155" s="67"/>
      <c r="P155" s="259" t="s">
        <v>2480</v>
      </c>
      <c r="Q155" s="728" t="s">
        <v>2481</v>
      </c>
      <c r="R155" s="253">
        <v>500</v>
      </c>
      <c r="S155" s="253">
        <v>200</v>
      </c>
      <c r="T155" s="253">
        <v>300</v>
      </c>
      <c r="U155" s="253"/>
      <c r="V155" s="253"/>
      <c r="W155" s="253"/>
      <c r="X155" s="253">
        <v>2500</v>
      </c>
      <c r="Y155" s="253">
        <v>1200</v>
      </c>
      <c r="Z155" s="253">
        <v>1300</v>
      </c>
      <c r="AA155" s="253"/>
      <c r="AB155" s="253"/>
      <c r="AC155" s="253"/>
      <c r="AD155" s="253">
        <v>2000</v>
      </c>
      <c r="AE155" s="253"/>
      <c r="AF155" s="253">
        <v>200</v>
      </c>
      <c r="AG155" s="253"/>
      <c r="AH155" s="253">
        <v>1800</v>
      </c>
      <c r="AI155" s="90"/>
      <c r="AJ155" s="259" t="s">
        <v>732</v>
      </c>
      <c r="AK155" s="736" t="s">
        <v>733</v>
      </c>
      <c r="AL155" s="35" t="s">
        <v>2482</v>
      </c>
      <c r="AM155" s="35" t="s">
        <v>359</v>
      </c>
      <c r="AN155" s="91"/>
      <c r="AO155" s="157"/>
      <c r="AP155" s="158" t="s">
        <v>2477</v>
      </c>
      <c r="AQ155" s="158" t="s">
        <v>2105</v>
      </c>
      <c r="AR155" s="158" t="str">
        <f t="shared" si="251"/>
        <v>农林水牧渔业</v>
      </c>
      <c r="AS155" s="158" t="str">
        <f t="shared" si="263"/>
        <v>牧渔业</v>
      </c>
      <c r="AT155" s="158"/>
      <c r="AU155" s="161"/>
      <c r="AV155" s="161"/>
      <c r="AW155" s="160"/>
      <c r="AX155" s="157"/>
      <c r="AY155" s="157"/>
      <c r="AZ155" s="157"/>
      <c r="BA155" s="157"/>
      <c r="BB155" s="157"/>
      <c r="BC155" s="157"/>
      <c r="BD155" s="157"/>
      <c r="BE155" s="157"/>
      <c r="BF155" s="201" t="s">
        <v>92</v>
      </c>
      <c r="BG155" s="203" t="s">
        <v>93</v>
      </c>
      <c r="BH155" s="201" t="str">
        <f t="shared" si="252"/>
        <v>企业钦南区人民政府</v>
      </c>
      <c r="BI155" s="201" t="str">
        <f t="shared" si="253"/>
        <v>产业钦南区人民政府</v>
      </c>
      <c r="BJ155" s="204">
        <f t="shared" si="254"/>
        <v>0</v>
      </c>
      <c r="BK155" s="157" t="str">
        <f t="shared" si="255"/>
        <v>农林水牧渔业1000</v>
      </c>
      <c r="BL155" s="157" t="str">
        <f t="shared" si="256"/>
        <v>农林水牧渔业2000</v>
      </c>
      <c r="BM155" s="157" t="str">
        <f t="shared" si="257"/>
        <v/>
      </c>
      <c r="BN155" s="157"/>
      <c r="BO155" s="157">
        <f t="shared" si="258"/>
        <v>1</v>
      </c>
      <c r="BP155" s="157">
        <f t="shared" si="259"/>
        <v>1</v>
      </c>
      <c r="BQ155" s="157">
        <f t="shared" si="260"/>
        <v>0</v>
      </c>
      <c r="BR155" s="157">
        <f t="shared" si="261"/>
        <v>0</v>
      </c>
      <c r="BS155" s="157">
        <f t="shared" si="262"/>
        <v>1</v>
      </c>
      <c r="BT155" s="181"/>
      <c r="BU155" s="206"/>
      <c r="BW155" s="7"/>
      <c r="BX155" s="7"/>
      <c r="BY155" s="7"/>
      <c r="BZ155" s="7"/>
      <c r="CA155" s="7"/>
      <c r="CB155" s="4"/>
      <c r="CC155" s="4"/>
      <c r="CD155" s="4"/>
      <c r="CE155" s="4"/>
      <c r="CF155" s="4"/>
      <c r="CG155" s="4"/>
    </row>
    <row r="156" ht="70.5" customHeight="1" spans="1:85">
      <c r="A156" s="23">
        <f>SUBTOTAL(3,C$7:C156)</f>
        <v>120</v>
      </c>
      <c r="B156" s="55" t="s">
        <v>734</v>
      </c>
      <c r="C156" s="35" t="s">
        <v>562</v>
      </c>
      <c r="D156" s="55" t="s">
        <v>735</v>
      </c>
      <c r="E156" s="35" t="s">
        <v>661</v>
      </c>
      <c r="F156" s="36">
        <v>22000</v>
      </c>
      <c r="G156" s="36">
        <v>3000</v>
      </c>
      <c r="H156" s="123" t="s">
        <v>736</v>
      </c>
      <c r="I156" s="581">
        <v>1000</v>
      </c>
      <c r="J156" s="581">
        <v>2500</v>
      </c>
      <c r="K156" s="581">
        <v>4200</v>
      </c>
      <c r="L156" s="36">
        <v>1000</v>
      </c>
      <c r="M156" s="36"/>
      <c r="N156" s="111"/>
      <c r="O156" s="67"/>
      <c r="P156" s="90" t="s">
        <v>2483</v>
      </c>
      <c r="Q156" s="90" t="s">
        <v>2484</v>
      </c>
      <c r="R156" s="132">
        <v>1000</v>
      </c>
      <c r="S156" s="132">
        <v>600</v>
      </c>
      <c r="T156" s="132">
        <v>400</v>
      </c>
      <c r="U156" s="253"/>
      <c r="V156" s="253"/>
      <c r="W156" s="253"/>
      <c r="X156" s="253"/>
      <c r="Y156" s="253"/>
      <c r="Z156" s="253"/>
      <c r="AA156" s="253"/>
      <c r="AB156" s="253"/>
      <c r="AC156" s="253"/>
      <c r="AD156" s="132">
        <v>1000</v>
      </c>
      <c r="AE156" s="132"/>
      <c r="AF156" s="132">
        <v>1000</v>
      </c>
      <c r="AG156" s="132"/>
      <c r="AH156" s="132"/>
      <c r="AI156" s="90"/>
      <c r="AJ156" s="90" t="s">
        <v>737</v>
      </c>
      <c r="AK156" s="34" t="s">
        <v>738</v>
      </c>
      <c r="AL156" s="35" t="s">
        <v>2485</v>
      </c>
      <c r="AM156" s="35" t="s">
        <v>359</v>
      </c>
      <c r="AN156" s="91"/>
      <c r="AO156" s="157"/>
      <c r="AP156" s="158" t="s">
        <v>722</v>
      </c>
      <c r="AQ156" s="158" t="s">
        <v>2105</v>
      </c>
      <c r="AR156" s="158" t="str">
        <f t="shared" si="251"/>
        <v>农林水农业</v>
      </c>
      <c r="AS156" s="158" t="str">
        <f t="shared" si="263"/>
        <v>农业</v>
      </c>
      <c r="AT156" s="158"/>
      <c r="AU156" s="161"/>
      <c r="AV156" s="161"/>
      <c r="AW156" s="160"/>
      <c r="AX156" s="157"/>
      <c r="AY156" s="157"/>
      <c r="AZ156" s="157"/>
      <c r="BA156" s="157"/>
      <c r="BB156" s="157"/>
      <c r="BC156" s="157"/>
      <c r="BD156" s="157"/>
      <c r="BE156" s="157"/>
      <c r="BF156" s="201" t="s">
        <v>92</v>
      </c>
      <c r="BG156" s="203" t="s">
        <v>93</v>
      </c>
      <c r="BH156" s="201" t="str">
        <f t="shared" si="252"/>
        <v>企业钦南区人民政府</v>
      </c>
      <c r="BI156" s="201" t="str">
        <f t="shared" si="253"/>
        <v>产业钦南区人民政府</v>
      </c>
      <c r="BJ156" s="204">
        <f t="shared" si="254"/>
        <v>0</v>
      </c>
      <c r="BK156" s="157" t="str">
        <f t="shared" si="255"/>
        <v>农林水农业1000</v>
      </c>
      <c r="BL156" s="157" t="str">
        <f t="shared" si="256"/>
        <v/>
      </c>
      <c r="BM156" s="157" t="str">
        <f t="shared" si="257"/>
        <v/>
      </c>
      <c r="BN156" s="157"/>
      <c r="BO156" s="157">
        <f t="shared" si="258"/>
        <v>1</v>
      </c>
      <c r="BP156" s="157">
        <f t="shared" si="259"/>
        <v>0</v>
      </c>
      <c r="BQ156" s="157">
        <f t="shared" si="260"/>
        <v>0</v>
      </c>
      <c r="BR156" s="157">
        <f t="shared" si="261"/>
        <v>0</v>
      </c>
      <c r="BS156" s="157">
        <f t="shared" si="262"/>
        <v>1</v>
      </c>
      <c r="BT156" s="181"/>
      <c r="BU156" s="206"/>
      <c r="BW156" s="7"/>
      <c r="BX156" s="7"/>
      <c r="BY156" s="7"/>
      <c r="BZ156" s="7"/>
      <c r="CA156" s="7"/>
      <c r="CB156" s="4"/>
      <c r="CC156" s="4"/>
      <c r="CD156" s="4"/>
      <c r="CE156" s="4"/>
      <c r="CF156" s="4"/>
      <c r="CG156" s="4"/>
    </row>
    <row r="157" s="9" customFormat="1" ht="79.5" customHeight="1" spans="1:79">
      <c r="A157" s="23">
        <f>SUBTOTAL(3,C$7:C157)</f>
        <v>121</v>
      </c>
      <c r="B157" s="55" t="s">
        <v>1534</v>
      </c>
      <c r="C157" s="35" t="s">
        <v>562</v>
      </c>
      <c r="D157" s="55" t="s">
        <v>1535</v>
      </c>
      <c r="E157" s="35" t="s">
        <v>1049</v>
      </c>
      <c r="F157" s="36">
        <v>14819</v>
      </c>
      <c r="G157" s="36">
        <v>9213</v>
      </c>
      <c r="H157" s="123" t="s">
        <v>1536</v>
      </c>
      <c r="I157" s="36">
        <v>250</v>
      </c>
      <c r="J157" s="36">
        <v>500</v>
      </c>
      <c r="K157" s="36">
        <v>750</v>
      </c>
      <c r="L157" s="36">
        <v>1000</v>
      </c>
      <c r="M157" s="36"/>
      <c r="N157" s="50"/>
      <c r="O157" s="134"/>
      <c r="P157" s="90" t="s">
        <v>2486</v>
      </c>
      <c r="Q157" s="90" t="s">
        <v>117</v>
      </c>
      <c r="R157" s="132">
        <v>280</v>
      </c>
      <c r="S157" s="132">
        <v>250</v>
      </c>
      <c r="T157" s="132">
        <v>30</v>
      </c>
      <c r="U157" s="132">
        <v>100</v>
      </c>
      <c r="V157" s="132">
        <v>100</v>
      </c>
      <c r="W157" s="132"/>
      <c r="X157" s="132">
        <v>75</v>
      </c>
      <c r="Y157" s="132">
        <v>75</v>
      </c>
      <c r="Z157" s="132"/>
      <c r="AA157" s="132">
        <v>105</v>
      </c>
      <c r="AB157" s="132">
        <v>75</v>
      </c>
      <c r="AC157" s="132">
        <v>30</v>
      </c>
      <c r="AD157" s="132">
        <v>1000</v>
      </c>
      <c r="AE157" s="132"/>
      <c r="AF157" s="132"/>
      <c r="AG157" s="132"/>
      <c r="AH157" s="132">
        <v>1000</v>
      </c>
      <c r="AI157" s="90"/>
      <c r="AJ157" s="90" t="s">
        <v>117</v>
      </c>
      <c r="AK157" s="34" t="s">
        <v>2487</v>
      </c>
      <c r="AL157" s="35" t="s">
        <v>2488</v>
      </c>
      <c r="AM157" s="35" t="s">
        <v>359</v>
      </c>
      <c r="AN157" s="91"/>
      <c r="AO157" s="157"/>
      <c r="AP157" s="158" t="s">
        <v>2104</v>
      </c>
      <c r="AQ157" s="158" t="s">
        <v>2105</v>
      </c>
      <c r="AR157" s="158" t="str">
        <f t="shared" si="251"/>
        <v>农林水水利</v>
      </c>
      <c r="AS157" s="158" t="str">
        <f t="shared" si="263"/>
        <v>水利</v>
      </c>
      <c r="AT157" s="158"/>
      <c r="AU157" s="157"/>
      <c r="AV157" s="272"/>
      <c r="AW157" s="160"/>
      <c r="AX157" s="157"/>
      <c r="AY157" s="157"/>
      <c r="AZ157" s="157"/>
      <c r="BA157" s="157"/>
      <c r="BB157" s="157"/>
      <c r="BC157" s="157"/>
      <c r="BD157" s="157"/>
      <c r="BE157" s="157"/>
      <c r="BF157" s="157" t="s">
        <v>205</v>
      </c>
      <c r="BG157" s="203" t="s">
        <v>1980</v>
      </c>
      <c r="BH157" s="201" t="str">
        <f t="shared" si="252"/>
        <v>政府钦南区人民政府</v>
      </c>
      <c r="BI157" s="201" t="str">
        <f t="shared" si="253"/>
        <v>基础设施钦南区人民政府</v>
      </c>
      <c r="BJ157" s="204">
        <f t="shared" si="254"/>
        <v>0</v>
      </c>
      <c r="BK157" s="157" t="str">
        <f t="shared" si="255"/>
        <v>农林水水利1000</v>
      </c>
      <c r="BL157" s="157" t="str">
        <f t="shared" si="256"/>
        <v/>
      </c>
      <c r="BM157" s="157" t="str">
        <f t="shared" si="257"/>
        <v/>
      </c>
      <c r="BN157" s="157"/>
      <c r="BO157" s="157">
        <f t="shared" si="258"/>
        <v>1</v>
      </c>
      <c r="BP157" s="157">
        <f t="shared" si="259"/>
        <v>1</v>
      </c>
      <c r="BQ157" s="157">
        <f t="shared" si="260"/>
        <v>1</v>
      </c>
      <c r="BR157" s="157">
        <f t="shared" si="261"/>
        <v>1</v>
      </c>
      <c r="BS157" s="157">
        <f t="shared" si="262"/>
        <v>1</v>
      </c>
      <c r="BT157" s="181"/>
      <c r="BU157" s="206"/>
      <c r="BW157" s="206"/>
      <c r="BX157" s="224"/>
      <c r="BY157" s="206"/>
      <c r="BZ157" s="206"/>
      <c r="CA157" s="206"/>
    </row>
    <row r="158" s="9" customFormat="1" ht="89.25" customHeight="1" spans="1:79">
      <c r="A158" s="23">
        <f>SUBTOTAL(3,C$7:C158)</f>
        <v>122</v>
      </c>
      <c r="B158" s="55" t="s">
        <v>1537</v>
      </c>
      <c r="C158" s="35" t="s">
        <v>562</v>
      </c>
      <c r="D158" s="55" t="s">
        <v>1538</v>
      </c>
      <c r="E158" s="35" t="s">
        <v>1271</v>
      </c>
      <c r="F158" s="36">
        <v>11096</v>
      </c>
      <c r="G158" s="36">
        <v>9226</v>
      </c>
      <c r="H158" s="123" t="s">
        <v>1536</v>
      </c>
      <c r="I158" s="36">
        <v>400</v>
      </c>
      <c r="J158" s="36">
        <v>900</v>
      </c>
      <c r="K158" s="36">
        <v>1300</v>
      </c>
      <c r="L158" s="36">
        <v>1800</v>
      </c>
      <c r="M158" s="36"/>
      <c r="N158" s="50"/>
      <c r="O158" s="92"/>
      <c r="P158" s="90" t="s">
        <v>2489</v>
      </c>
      <c r="Q158" s="90" t="s">
        <v>2490</v>
      </c>
      <c r="R158" s="132">
        <v>445</v>
      </c>
      <c r="S158" s="132">
        <v>445</v>
      </c>
      <c r="T158" s="132"/>
      <c r="U158" s="132"/>
      <c r="V158" s="132"/>
      <c r="W158" s="132"/>
      <c r="X158" s="132"/>
      <c r="Y158" s="132"/>
      <c r="Z158" s="132"/>
      <c r="AA158" s="132">
        <v>187</v>
      </c>
      <c r="AB158" s="132">
        <v>187</v>
      </c>
      <c r="AC158" s="132"/>
      <c r="AD158" s="132">
        <v>1218</v>
      </c>
      <c r="AE158" s="132"/>
      <c r="AF158" s="132"/>
      <c r="AG158" s="132"/>
      <c r="AH158" s="132">
        <v>1218</v>
      </c>
      <c r="AI158" s="90"/>
      <c r="AJ158" s="90" t="s">
        <v>1539</v>
      </c>
      <c r="AK158" s="34" t="s">
        <v>1540</v>
      </c>
      <c r="AL158" s="35" t="s">
        <v>2488</v>
      </c>
      <c r="AM158" s="35" t="s">
        <v>359</v>
      </c>
      <c r="AN158" s="91"/>
      <c r="AO158" s="157"/>
      <c r="AP158" s="158" t="s">
        <v>2104</v>
      </c>
      <c r="AQ158" s="158" t="s">
        <v>2105</v>
      </c>
      <c r="AR158" s="158" t="str">
        <f t="shared" si="251"/>
        <v>农林水水利</v>
      </c>
      <c r="AS158" s="158" t="str">
        <f t="shared" si="263"/>
        <v>水利</v>
      </c>
      <c r="AT158" s="158"/>
      <c r="AU158" s="165"/>
      <c r="AV158" s="169"/>
      <c r="AW158" s="160"/>
      <c r="AX158" s="165"/>
      <c r="AY158" s="157"/>
      <c r="AZ158" s="165"/>
      <c r="BA158" s="157"/>
      <c r="BB158" s="157"/>
      <c r="BC158" s="157"/>
      <c r="BD158" s="157"/>
      <c r="BE158" s="157"/>
      <c r="BF158" s="202" t="s">
        <v>205</v>
      </c>
      <c r="BG158" s="203" t="s">
        <v>1980</v>
      </c>
      <c r="BH158" s="201" t="str">
        <f t="shared" si="252"/>
        <v>政府钦南区人民政府</v>
      </c>
      <c r="BI158" s="201" t="str">
        <f t="shared" si="253"/>
        <v>基础设施钦南区人民政府</v>
      </c>
      <c r="BJ158" s="204">
        <f t="shared" si="254"/>
        <v>0</v>
      </c>
      <c r="BK158" s="157" t="str">
        <f t="shared" si="255"/>
        <v>农林水水利1000</v>
      </c>
      <c r="BL158" s="157" t="str">
        <f t="shared" si="256"/>
        <v/>
      </c>
      <c r="BM158" s="157" t="str">
        <f t="shared" si="257"/>
        <v/>
      </c>
      <c r="BN158" s="157"/>
      <c r="BO158" s="157">
        <f t="shared" si="258"/>
        <v>1</v>
      </c>
      <c r="BP158" s="157">
        <f t="shared" si="259"/>
        <v>0</v>
      </c>
      <c r="BQ158" s="157">
        <f t="shared" si="260"/>
        <v>0</v>
      </c>
      <c r="BR158" s="157">
        <f t="shared" si="261"/>
        <v>1</v>
      </c>
      <c r="BS158" s="157">
        <f t="shared" si="262"/>
        <v>1</v>
      </c>
      <c r="BT158" s="181"/>
      <c r="BU158" s="206"/>
      <c r="BW158" s="206"/>
      <c r="BX158" s="224"/>
      <c r="BY158" s="206"/>
      <c r="BZ158" s="206"/>
      <c r="CA158" s="206"/>
    </row>
    <row r="159" s="9" customFormat="1" ht="81" customHeight="1" spans="1:79">
      <c r="A159" s="23">
        <f>SUBTOTAL(3,C$7:C159)</f>
        <v>123</v>
      </c>
      <c r="B159" s="55" t="s">
        <v>1095</v>
      </c>
      <c r="C159" s="35" t="s">
        <v>562</v>
      </c>
      <c r="D159" s="55" t="s">
        <v>1096</v>
      </c>
      <c r="E159" s="35" t="s">
        <v>575</v>
      </c>
      <c r="F159" s="38">
        <v>45960</v>
      </c>
      <c r="G159" s="38">
        <v>4620</v>
      </c>
      <c r="H159" s="112" t="s">
        <v>1097</v>
      </c>
      <c r="I159" s="36">
        <v>3000</v>
      </c>
      <c r="J159" s="36">
        <v>7000</v>
      </c>
      <c r="K159" s="36">
        <v>10000</v>
      </c>
      <c r="L159" s="38">
        <v>14400</v>
      </c>
      <c r="M159" s="38"/>
      <c r="N159" s="111"/>
      <c r="O159" s="67"/>
      <c r="P159" s="90" t="s">
        <v>2491</v>
      </c>
      <c r="Q159" s="90" t="s">
        <v>117</v>
      </c>
      <c r="R159" s="132"/>
      <c r="S159" s="132"/>
      <c r="T159" s="132"/>
      <c r="U159" s="132"/>
      <c r="V159" s="132"/>
      <c r="W159" s="132"/>
      <c r="X159" s="132"/>
      <c r="Y159" s="132"/>
      <c r="Z159" s="132"/>
      <c r="AA159" s="132"/>
      <c r="AB159" s="132"/>
      <c r="AC159" s="132"/>
      <c r="AD159" s="132"/>
      <c r="AE159" s="132"/>
      <c r="AF159" s="132"/>
      <c r="AG159" s="132"/>
      <c r="AH159" s="132"/>
      <c r="AI159" s="90"/>
      <c r="AJ159" s="112" t="s">
        <v>117</v>
      </c>
      <c r="AK159" s="123" t="s">
        <v>807</v>
      </c>
      <c r="AL159" s="35" t="s">
        <v>2492</v>
      </c>
      <c r="AM159" s="35" t="s">
        <v>375</v>
      </c>
      <c r="AN159" s="91"/>
      <c r="AO159" s="157"/>
      <c r="AP159" s="158" t="s">
        <v>2104</v>
      </c>
      <c r="AQ159" s="158" t="s">
        <v>2105</v>
      </c>
      <c r="AR159" s="158" t="str">
        <f t="shared" si="251"/>
        <v>农林水水利</v>
      </c>
      <c r="AS159" s="158" t="str">
        <f t="shared" si="263"/>
        <v>水利</v>
      </c>
      <c r="AT159" s="158"/>
      <c r="AU159" s="157"/>
      <c r="AV159" s="272"/>
      <c r="AW159" s="160"/>
      <c r="AX159" s="157"/>
      <c r="AY159" s="157"/>
      <c r="AZ159" s="157"/>
      <c r="BA159" s="157"/>
      <c r="BB159" s="157"/>
      <c r="BC159" s="157"/>
      <c r="BD159" s="157"/>
      <c r="BE159" s="157"/>
      <c r="BF159" s="157" t="s">
        <v>205</v>
      </c>
      <c r="BG159" s="203" t="s">
        <v>1980</v>
      </c>
      <c r="BH159" s="201" t="str">
        <f t="shared" si="252"/>
        <v>政府钦北区人民政府</v>
      </c>
      <c r="BI159" s="201" t="str">
        <f t="shared" si="253"/>
        <v>基础设施钦北区人民政府</v>
      </c>
      <c r="BJ159" s="204">
        <f t="shared" si="254"/>
        <v>0</v>
      </c>
      <c r="BK159" s="157" t="str">
        <f t="shared" si="255"/>
        <v>农林水水利1000</v>
      </c>
      <c r="BL159" s="157" t="str">
        <f t="shared" si="256"/>
        <v>农林水水利2000</v>
      </c>
      <c r="BM159" s="157" t="str">
        <f t="shared" si="257"/>
        <v>农林水水利5000</v>
      </c>
      <c r="BN159" s="157"/>
      <c r="BO159" s="157">
        <f t="shared" si="258"/>
        <v>0</v>
      </c>
      <c r="BP159" s="157">
        <f t="shared" si="259"/>
        <v>0</v>
      </c>
      <c r="BQ159" s="157">
        <f t="shared" si="260"/>
        <v>0</v>
      </c>
      <c r="BR159" s="157">
        <f t="shared" si="261"/>
        <v>0</v>
      </c>
      <c r="BS159" s="157">
        <f t="shared" si="262"/>
        <v>0</v>
      </c>
      <c r="BT159" s="181"/>
      <c r="BU159" s="206"/>
      <c r="BW159" s="206"/>
      <c r="BX159" s="206"/>
      <c r="BY159" s="206"/>
      <c r="BZ159" s="206"/>
      <c r="CA159" s="206"/>
    </row>
    <row r="160" s="9" customFormat="1" ht="77.25" customHeight="1" spans="1:79">
      <c r="A160" s="23">
        <f>SUBTOTAL(3,C$7:C160)</f>
        <v>124</v>
      </c>
      <c r="B160" s="55" t="s">
        <v>739</v>
      </c>
      <c r="C160" s="35" t="s">
        <v>562</v>
      </c>
      <c r="D160" s="60" t="s">
        <v>740</v>
      </c>
      <c r="E160" s="35" t="s">
        <v>588</v>
      </c>
      <c r="F160" s="127">
        <v>19400</v>
      </c>
      <c r="G160" s="127">
        <v>5000</v>
      </c>
      <c r="H160" s="123" t="s">
        <v>741</v>
      </c>
      <c r="I160" s="67">
        <v>1200</v>
      </c>
      <c r="J160" s="67">
        <v>2500</v>
      </c>
      <c r="K160" s="67">
        <v>4000</v>
      </c>
      <c r="L160" s="36">
        <v>6000</v>
      </c>
      <c r="M160" s="36"/>
      <c r="N160" s="36"/>
      <c r="O160" s="36"/>
      <c r="P160" s="90" t="s">
        <v>2493</v>
      </c>
      <c r="Q160" s="90" t="s">
        <v>117</v>
      </c>
      <c r="R160" s="132"/>
      <c r="S160" s="132"/>
      <c r="T160" s="132"/>
      <c r="U160" s="132"/>
      <c r="V160" s="132"/>
      <c r="W160" s="132"/>
      <c r="X160" s="132"/>
      <c r="Y160" s="132"/>
      <c r="Z160" s="132"/>
      <c r="AA160" s="132"/>
      <c r="AB160" s="132"/>
      <c r="AC160" s="132"/>
      <c r="AD160" s="132"/>
      <c r="AE160" s="132"/>
      <c r="AF160" s="132"/>
      <c r="AG160" s="132"/>
      <c r="AH160" s="132"/>
      <c r="AI160" s="90"/>
      <c r="AJ160" s="90" t="s">
        <v>117</v>
      </c>
      <c r="AK160" s="123" t="s">
        <v>742</v>
      </c>
      <c r="AL160" s="35" t="s">
        <v>2494</v>
      </c>
      <c r="AM160" s="35" t="s">
        <v>375</v>
      </c>
      <c r="AN160" s="91"/>
      <c r="AO160" s="157"/>
      <c r="AP160" s="158" t="s">
        <v>722</v>
      </c>
      <c r="AQ160" s="158" t="s">
        <v>2105</v>
      </c>
      <c r="AR160" s="158" t="str">
        <f t="shared" si="251"/>
        <v>农林水农业</v>
      </c>
      <c r="AS160" s="158" t="str">
        <f t="shared" si="263"/>
        <v>农业</v>
      </c>
      <c r="AT160" s="158"/>
      <c r="AU160" s="157"/>
      <c r="AV160" s="272"/>
      <c r="AW160" s="160"/>
      <c r="AX160" s="157"/>
      <c r="AY160" s="157"/>
      <c r="AZ160" s="157"/>
      <c r="BA160" s="157"/>
      <c r="BB160" s="157"/>
      <c r="BC160" s="157"/>
      <c r="BD160" s="157"/>
      <c r="BE160" s="157"/>
      <c r="BF160" s="157" t="s">
        <v>92</v>
      </c>
      <c r="BG160" s="203" t="s">
        <v>93</v>
      </c>
      <c r="BH160" s="201" t="str">
        <f t="shared" si="252"/>
        <v>企业钦北区人民政府</v>
      </c>
      <c r="BI160" s="201" t="str">
        <f t="shared" si="253"/>
        <v>产业钦北区人民政府</v>
      </c>
      <c r="BJ160" s="204">
        <f t="shared" si="254"/>
        <v>0</v>
      </c>
      <c r="BK160" s="157" t="str">
        <f t="shared" si="255"/>
        <v>农林水农业1000</v>
      </c>
      <c r="BL160" s="157" t="str">
        <f t="shared" si="256"/>
        <v>农林水农业2000</v>
      </c>
      <c r="BM160" s="157" t="str">
        <f t="shared" si="257"/>
        <v>农林水农业5000</v>
      </c>
      <c r="BN160" s="157"/>
      <c r="BO160" s="157">
        <f t="shared" si="258"/>
        <v>0</v>
      </c>
      <c r="BP160" s="157">
        <f t="shared" si="259"/>
        <v>0</v>
      </c>
      <c r="BQ160" s="157">
        <f t="shared" si="260"/>
        <v>0</v>
      </c>
      <c r="BR160" s="157">
        <f t="shared" si="261"/>
        <v>0</v>
      </c>
      <c r="BS160" s="157">
        <f t="shared" si="262"/>
        <v>0</v>
      </c>
      <c r="BT160" s="181"/>
      <c r="BU160" s="206"/>
      <c r="BW160" s="206"/>
      <c r="BX160" s="206"/>
      <c r="BY160" s="206"/>
      <c r="BZ160" s="206"/>
      <c r="CA160" s="206"/>
    </row>
    <row r="161" s="9" customFormat="1" ht="30" customHeight="1" spans="1:72">
      <c r="A161" s="551" t="s">
        <v>2108</v>
      </c>
      <c r="B161" s="557" t="str">
        <f>"服务业（"&amp;SUBTOTAL(3,C163:C178)&amp;"个）"</f>
        <v>服务业（14个）</v>
      </c>
      <c r="C161" s="557"/>
      <c r="D161" s="557"/>
      <c r="E161" s="551"/>
      <c r="F161" s="134">
        <f t="shared" ref="F161:M161" si="264">F162+F169+F175</f>
        <v>442515</v>
      </c>
      <c r="G161" s="134">
        <f t="shared" si="264"/>
        <v>127856</v>
      </c>
      <c r="H161" s="134"/>
      <c r="I161" s="134">
        <f t="shared" si="264"/>
        <v>9760</v>
      </c>
      <c r="J161" s="134">
        <f t="shared" si="264"/>
        <v>25350</v>
      </c>
      <c r="K161" s="134">
        <f t="shared" si="264"/>
        <v>43200</v>
      </c>
      <c r="L161" s="134">
        <f t="shared" si="264"/>
        <v>61700</v>
      </c>
      <c r="M161" s="134">
        <f t="shared" si="264"/>
        <v>6000</v>
      </c>
      <c r="N161" s="67"/>
      <c r="O161" s="67"/>
      <c r="P161" s="674"/>
      <c r="Q161" s="90"/>
      <c r="R161" s="132"/>
      <c r="S161" s="132"/>
      <c r="T161" s="132"/>
      <c r="U161" s="132"/>
      <c r="V161" s="132"/>
      <c r="W161" s="132"/>
      <c r="X161" s="132"/>
      <c r="Y161" s="132"/>
      <c r="Z161" s="132"/>
      <c r="AA161" s="132"/>
      <c r="AB161" s="132"/>
      <c r="AC161" s="132"/>
      <c r="AD161" s="132"/>
      <c r="AE161" s="132"/>
      <c r="AF161" s="132"/>
      <c r="AG161" s="132"/>
      <c r="AH161" s="132"/>
      <c r="AI161" s="90"/>
      <c r="AJ161" s="90"/>
      <c r="AK161" s="591"/>
      <c r="AL161" s="134"/>
      <c r="AM161" s="134"/>
      <c r="AN161" s="91"/>
      <c r="AO161" s="165"/>
      <c r="AP161" s="158"/>
      <c r="AQ161" s="158"/>
      <c r="AR161" s="158"/>
      <c r="AS161" s="158"/>
      <c r="AT161" s="158"/>
      <c r="AU161" s="165"/>
      <c r="AV161" s="169"/>
      <c r="AW161" s="165"/>
      <c r="AX161" s="165"/>
      <c r="AY161" s="165"/>
      <c r="AZ161" s="165"/>
      <c r="BA161" s="165"/>
      <c r="BB161" s="169"/>
      <c r="BC161" s="169"/>
      <c r="BD161" s="169"/>
      <c r="BE161" s="165"/>
      <c r="BF161" s="201"/>
      <c r="BG161" s="685"/>
      <c r="BK161" s="201"/>
      <c r="BL161" s="201"/>
      <c r="BM161" s="201"/>
      <c r="BN161" s="201"/>
      <c r="BO161" s="201"/>
      <c r="BP161" s="201"/>
      <c r="BQ161" s="201"/>
      <c r="BR161" s="201"/>
      <c r="BS161" s="201"/>
      <c r="BT161" s="7"/>
    </row>
    <row r="162" s="9" customFormat="1" ht="30" customHeight="1" spans="1:72">
      <c r="A162" s="551"/>
      <c r="B162" s="557" t="str">
        <f>"商贸流通（"&amp;SUBTOTAL(3,C163:C168)&amp;"个）"</f>
        <v>商贸流通（6个）</v>
      </c>
      <c r="C162" s="551"/>
      <c r="D162" s="55"/>
      <c r="E162" s="551"/>
      <c r="F162" s="134">
        <f t="shared" ref="F162:M162" si="265">SUBTOTAL(9,F163:F168)</f>
        <v>151635</v>
      </c>
      <c r="G162" s="134">
        <f t="shared" si="265"/>
        <v>31870</v>
      </c>
      <c r="H162" s="134"/>
      <c r="I162" s="134">
        <f t="shared" si="265"/>
        <v>5800</v>
      </c>
      <c r="J162" s="134">
        <f t="shared" si="265"/>
        <v>15200</v>
      </c>
      <c r="K162" s="134">
        <f t="shared" si="265"/>
        <v>25500</v>
      </c>
      <c r="L162" s="134">
        <f t="shared" si="265"/>
        <v>35000</v>
      </c>
      <c r="M162" s="134">
        <f t="shared" si="265"/>
        <v>6000</v>
      </c>
      <c r="N162" s="134"/>
      <c r="O162" s="134"/>
      <c r="P162" s="90"/>
      <c r="Q162" s="90"/>
      <c r="R162" s="132"/>
      <c r="S162" s="132"/>
      <c r="T162" s="132"/>
      <c r="U162" s="132"/>
      <c r="V162" s="132"/>
      <c r="W162" s="132"/>
      <c r="X162" s="132"/>
      <c r="Y162" s="132"/>
      <c r="Z162" s="132"/>
      <c r="AA162" s="132"/>
      <c r="AB162" s="132"/>
      <c r="AC162" s="132"/>
      <c r="AD162" s="132"/>
      <c r="AE162" s="132"/>
      <c r="AF162" s="132"/>
      <c r="AG162" s="132"/>
      <c r="AH162" s="132"/>
      <c r="AI162" s="90"/>
      <c r="AJ162" s="90"/>
      <c r="AK162" s="591"/>
      <c r="AL162" s="134"/>
      <c r="AM162" s="134"/>
      <c r="AN162" s="91"/>
      <c r="AO162" s="165"/>
      <c r="AP162" s="158"/>
      <c r="AQ162" s="158"/>
      <c r="AR162" s="158"/>
      <c r="AS162" s="158"/>
      <c r="AT162" s="158"/>
      <c r="AU162" s="165"/>
      <c r="AV162" s="169"/>
      <c r="AW162" s="165"/>
      <c r="AX162" s="165"/>
      <c r="AY162" s="165"/>
      <c r="AZ162" s="165"/>
      <c r="BA162" s="165"/>
      <c r="BB162" s="169"/>
      <c r="BC162" s="169"/>
      <c r="BD162" s="169"/>
      <c r="BE162" s="165"/>
      <c r="BF162" s="201"/>
      <c r="BG162" s="685"/>
      <c r="BK162" s="201"/>
      <c r="BL162" s="201"/>
      <c r="BM162" s="201"/>
      <c r="BN162" s="201"/>
      <c r="BO162" s="201"/>
      <c r="BP162" s="201"/>
      <c r="BQ162" s="201"/>
      <c r="BR162" s="201"/>
      <c r="BS162" s="201"/>
      <c r="BT162" s="181"/>
    </row>
    <row r="163" ht="81" customHeight="1" spans="1:85">
      <c r="A163" s="23">
        <f>SUBTOTAL(3,C$7:C163)</f>
        <v>125</v>
      </c>
      <c r="B163" s="55" t="s">
        <v>751</v>
      </c>
      <c r="C163" s="23" t="s">
        <v>562</v>
      </c>
      <c r="D163" s="55" t="s">
        <v>752</v>
      </c>
      <c r="E163" s="35" t="s">
        <v>575</v>
      </c>
      <c r="F163" s="38">
        <v>28000</v>
      </c>
      <c r="G163" s="67">
        <v>5989</v>
      </c>
      <c r="H163" s="123" t="s">
        <v>753</v>
      </c>
      <c r="I163" s="67">
        <v>1000</v>
      </c>
      <c r="J163" s="67">
        <v>3200</v>
      </c>
      <c r="K163" s="67">
        <v>4500</v>
      </c>
      <c r="L163" s="67">
        <v>6000</v>
      </c>
      <c r="M163" s="67"/>
      <c r="N163" s="36"/>
      <c r="O163" s="36"/>
      <c r="P163" s="137" t="s">
        <v>2217</v>
      </c>
      <c r="Q163" s="90" t="s">
        <v>117</v>
      </c>
      <c r="R163" s="132"/>
      <c r="S163" s="132"/>
      <c r="T163" s="132"/>
      <c r="U163" s="132"/>
      <c r="V163" s="132"/>
      <c r="W163" s="132"/>
      <c r="X163" s="132"/>
      <c r="Y163" s="132"/>
      <c r="Z163" s="132"/>
      <c r="AA163" s="132"/>
      <c r="AB163" s="132"/>
      <c r="AC163" s="132"/>
      <c r="AD163" s="132"/>
      <c r="AE163" s="132"/>
      <c r="AF163" s="132"/>
      <c r="AG163" s="132">
        <v>6000</v>
      </c>
      <c r="AH163" s="132"/>
      <c r="AI163" s="90"/>
      <c r="AJ163" s="90" t="s">
        <v>117</v>
      </c>
      <c r="AK163" s="34" t="s">
        <v>754</v>
      </c>
      <c r="AL163" s="35" t="s">
        <v>2495</v>
      </c>
      <c r="AM163" s="67" t="s">
        <v>166</v>
      </c>
      <c r="AN163" s="91"/>
      <c r="AO163" s="157"/>
      <c r="AP163" s="158" t="s">
        <v>2110</v>
      </c>
      <c r="AQ163" s="158" t="s">
        <v>459</v>
      </c>
      <c r="AR163" s="158" t="str">
        <f t="shared" ref="AR163:AR168" si="266">AQ163&amp;AP163</f>
        <v>服务业商贸流通</v>
      </c>
      <c r="AS163" s="158" t="str">
        <f t="shared" ref="AS163:AS168" si="267">AP163</f>
        <v>商贸流通</v>
      </c>
      <c r="AT163" s="158"/>
      <c r="AU163" s="161"/>
      <c r="AV163" s="161"/>
      <c r="AW163" s="160"/>
      <c r="AX163" s="157"/>
      <c r="AY163" s="157"/>
      <c r="AZ163" s="157"/>
      <c r="BA163" s="157"/>
      <c r="BB163" s="157"/>
      <c r="BC163" s="157"/>
      <c r="BD163" s="157"/>
      <c r="BE163" s="157"/>
      <c r="BF163" s="157" t="s">
        <v>92</v>
      </c>
      <c r="BG163" s="203" t="s">
        <v>93</v>
      </c>
      <c r="BH163" s="201" t="str">
        <f t="shared" ref="BH163:BH168" si="268">BF163&amp;AM163</f>
        <v>企业钦州保税港区管委</v>
      </c>
      <c r="BI163" s="201" t="str">
        <f t="shared" ref="BI163:BI168" si="269">BG163&amp;AM163</f>
        <v>产业钦州保税港区管委</v>
      </c>
      <c r="BJ163" s="204">
        <f t="shared" ref="BJ163:BJ168" si="270">IF(N163&gt;0,1,0)</f>
        <v>0</v>
      </c>
      <c r="BK163" s="157" t="str">
        <f t="shared" ref="BK163:BK168" si="271">IF(L163&lt;1000,"",AR163&amp;"1000")</f>
        <v>服务业商贸流通1000</v>
      </c>
      <c r="BL163" s="157" t="str">
        <f t="shared" ref="BL163:BL168" si="272">IF(L163&lt;2000,"",AR163&amp;"2000")</f>
        <v>服务业商贸流通2000</v>
      </c>
      <c r="BM163" s="157" t="str">
        <f t="shared" ref="BM163:BM168" si="273">IF(L163&lt;5000,"",AR163&amp;"5000")</f>
        <v>服务业商贸流通5000</v>
      </c>
      <c r="BN163" s="157"/>
      <c r="BO163" s="157">
        <f t="shared" ref="BO163:BO168" si="274">IF(R163&gt;0,1,0)</f>
        <v>0</v>
      </c>
      <c r="BP163" s="157">
        <f t="shared" ref="BP163:BP168" si="275">IF(X163&gt;0,1,0)</f>
        <v>0</v>
      </c>
      <c r="BQ163" s="157">
        <f t="shared" ref="BQ163:BQ168" si="276">IF(U163&gt;0,1,0)</f>
        <v>0</v>
      </c>
      <c r="BR163" s="157">
        <f t="shared" ref="BR163:BR168" si="277">IF(AA163&gt;0,1,0)</f>
        <v>0</v>
      </c>
      <c r="BS163" s="157">
        <f t="shared" ref="BS163:BS168" si="278">IF(AD163&gt;0,1,0)</f>
        <v>0</v>
      </c>
      <c r="BT163" s="181"/>
      <c r="BU163" s="206"/>
      <c r="BW163" s="7"/>
      <c r="BX163" s="7"/>
      <c r="BY163" s="7"/>
      <c r="BZ163" s="7"/>
      <c r="CA163" s="7"/>
      <c r="CB163" s="4"/>
      <c r="CC163" s="4"/>
      <c r="CD163" s="4"/>
      <c r="CE163" s="4"/>
      <c r="CF163" s="4"/>
      <c r="CG163" s="4"/>
    </row>
    <row r="164" ht="87.75" customHeight="1" spans="1:85">
      <c r="A164" s="23">
        <f>SUBTOTAL(3,C$7:C164)</f>
        <v>126</v>
      </c>
      <c r="B164" s="88" t="s">
        <v>755</v>
      </c>
      <c r="C164" s="23" t="s">
        <v>562</v>
      </c>
      <c r="D164" s="88" t="s">
        <v>756</v>
      </c>
      <c r="E164" s="23" t="s">
        <v>575</v>
      </c>
      <c r="F164" s="67">
        <v>16800</v>
      </c>
      <c r="G164" s="67">
        <v>790</v>
      </c>
      <c r="H164" s="123" t="s">
        <v>757</v>
      </c>
      <c r="I164" s="67"/>
      <c r="J164" s="67"/>
      <c r="K164" s="67">
        <v>2000</v>
      </c>
      <c r="L164" s="67">
        <v>6000</v>
      </c>
      <c r="M164" s="67"/>
      <c r="N164" s="67"/>
      <c r="O164" s="67"/>
      <c r="P164" s="88" t="s">
        <v>2496</v>
      </c>
      <c r="Q164" s="90" t="s">
        <v>2497</v>
      </c>
      <c r="R164" s="132"/>
      <c r="S164" s="132"/>
      <c r="T164" s="132"/>
      <c r="U164" s="132"/>
      <c r="V164" s="132"/>
      <c r="W164" s="132"/>
      <c r="X164" s="132"/>
      <c r="Y164" s="132"/>
      <c r="Z164" s="132"/>
      <c r="AA164" s="132"/>
      <c r="AB164" s="132"/>
      <c r="AC164" s="132"/>
      <c r="AD164" s="132"/>
      <c r="AE164" s="132"/>
      <c r="AF164" s="132"/>
      <c r="AG164" s="132">
        <v>4000</v>
      </c>
      <c r="AH164" s="132">
        <v>2000</v>
      </c>
      <c r="AI164" s="90"/>
      <c r="AJ164" s="88" t="s">
        <v>2498</v>
      </c>
      <c r="AK164" s="66" t="s">
        <v>172</v>
      </c>
      <c r="AL164" s="23" t="s">
        <v>173</v>
      </c>
      <c r="AM164" s="67" t="s">
        <v>166</v>
      </c>
      <c r="AN164" s="91"/>
      <c r="AO164" s="157"/>
      <c r="AP164" s="158" t="s">
        <v>2110</v>
      </c>
      <c r="AQ164" s="158" t="s">
        <v>459</v>
      </c>
      <c r="AR164" s="158" t="str">
        <f t="shared" si="266"/>
        <v>服务业商贸流通</v>
      </c>
      <c r="AS164" s="158" t="str">
        <f t="shared" si="267"/>
        <v>商贸流通</v>
      </c>
      <c r="AT164" s="158"/>
      <c r="AU164" s="161"/>
      <c r="AV164" s="161"/>
      <c r="AW164" s="160"/>
      <c r="AX164" s="157"/>
      <c r="AY164" s="157"/>
      <c r="AZ164" s="157"/>
      <c r="BA164" s="157"/>
      <c r="BB164" s="157"/>
      <c r="BC164" s="157"/>
      <c r="BD164" s="157"/>
      <c r="BE164" s="157"/>
      <c r="BF164" s="157" t="s">
        <v>92</v>
      </c>
      <c r="BG164" s="203" t="s">
        <v>93</v>
      </c>
      <c r="BH164" s="201" t="str">
        <f t="shared" si="268"/>
        <v>企业钦州保税港区管委</v>
      </c>
      <c r="BI164" s="201" t="str">
        <f t="shared" si="269"/>
        <v>产业钦州保税港区管委</v>
      </c>
      <c r="BJ164" s="204">
        <f t="shared" si="270"/>
        <v>0</v>
      </c>
      <c r="BK164" s="157" t="str">
        <f t="shared" si="271"/>
        <v>服务业商贸流通1000</v>
      </c>
      <c r="BL164" s="157" t="str">
        <f t="shared" si="272"/>
        <v>服务业商贸流通2000</v>
      </c>
      <c r="BM164" s="157" t="str">
        <f t="shared" si="273"/>
        <v>服务业商贸流通5000</v>
      </c>
      <c r="BN164" s="157"/>
      <c r="BO164" s="157">
        <f t="shared" si="274"/>
        <v>0</v>
      </c>
      <c r="BP164" s="157">
        <f t="shared" si="275"/>
        <v>0</v>
      </c>
      <c r="BQ164" s="157">
        <f t="shared" si="276"/>
        <v>0</v>
      </c>
      <c r="BR164" s="157">
        <f t="shared" si="277"/>
        <v>0</v>
      </c>
      <c r="BS164" s="157">
        <f t="shared" si="278"/>
        <v>0</v>
      </c>
      <c r="BT164" s="181"/>
      <c r="BU164" s="206"/>
      <c r="BW164" s="7"/>
      <c r="BX164" s="7"/>
      <c r="BY164" s="7"/>
      <c r="BZ164" s="7"/>
      <c r="CA164" s="7"/>
      <c r="CB164" s="4"/>
      <c r="CC164" s="4"/>
      <c r="CD164" s="4"/>
      <c r="CE164" s="4"/>
      <c r="CF164" s="4"/>
      <c r="CG164" s="4"/>
    </row>
    <row r="165" ht="87.75" customHeight="1" spans="1:85">
      <c r="A165" s="23">
        <f>SUBTOTAL(3,C$7:C165)</f>
        <v>127</v>
      </c>
      <c r="B165" s="60" t="s">
        <v>758</v>
      </c>
      <c r="C165" s="23" t="s">
        <v>562</v>
      </c>
      <c r="D165" s="88" t="s">
        <v>759</v>
      </c>
      <c r="E165" s="23" t="s">
        <v>575</v>
      </c>
      <c r="F165" s="67">
        <v>14500</v>
      </c>
      <c r="G165" s="67">
        <v>5819</v>
      </c>
      <c r="H165" s="123" t="s">
        <v>760</v>
      </c>
      <c r="I165" s="67">
        <v>1000</v>
      </c>
      <c r="J165" s="67">
        <v>3000</v>
      </c>
      <c r="K165" s="67">
        <v>5000</v>
      </c>
      <c r="L165" s="67">
        <v>8000</v>
      </c>
      <c r="M165" s="67">
        <v>6000</v>
      </c>
      <c r="N165" s="111"/>
      <c r="O165" s="67"/>
      <c r="P165" s="137" t="s">
        <v>2217</v>
      </c>
      <c r="Q165" s="90" t="s">
        <v>117</v>
      </c>
      <c r="R165" s="132"/>
      <c r="S165" s="132"/>
      <c r="T165" s="132"/>
      <c r="U165" s="132"/>
      <c r="V165" s="132"/>
      <c r="W165" s="132"/>
      <c r="X165" s="132"/>
      <c r="Y165" s="132"/>
      <c r="Z165" s="132"/>
      <c r="AA165" s="132"/>
      <c r="AB165" s="132"/>
      <c r="AC165" s="132"/>
      <c r="AD165" s="132"/>
      <c r="AE165" s="132"/>
      <c r="AF165" s="132"/>
      <c r="AG165" s="132">
        <v>8000</v>
      </c>
      <c r="AH165" s="132"/>
      <c r="AI165" s="90"/>
      <c r="AJ165" s="90" t="s">
        <v>117</v>
      </c>
      <c r="AK165" s="123" t="s">
        <v>761</v>
      </c>
      <c r="AL165" s="67" t="s">
        <v>2499</v>
      </c>
      <c r="AM165" s="67" t="s">
        <v>166</v>
      </c>
      <c r="AN165" s="91"/>
      <c r="AO165" s="157"/>
      <c r="AP165" s="158" t="s">
        <v>2110</v>
      </c>
      <c r="AQ165" s="158" t="s">
        <v>459</v>
      </c>
      <c r="AR165" s="158" t="str">
        <f t="shared" si="266"/>
        <v>服务业商贸流通</v>
      </c>
      <c r="AS165" s="158" t="str">
        <f t="shared" si="267"/>
        <v>商贸流通</v>
      </c>
      <c r="AT165" s="158"/>
      <c r="AU165" s="157"/>
      <c r="AV165" s="272"/>
      <c r="AW165" s="160"/>
      <c r="AX165" s="157"/>
      <c r="AY165" s="157"/>
      <c r="AZ165" s="157"/>
      <c r="BA165" s="157"/>
      <c r="BB165" s="157"/>
      <c r="BC165" s="157"/>
      <c r="BD165" s="157"/>
      <c r="BE165" s="157"/>
      <c r="BF165" s="157" t="s">
        <v>92</v>
      </c>
      <c r="BG165" s="203" t="s">
        <v>93</v>
      </c>
      <c r="BH165" s="201" t="str">
        <f t="shared" si="268"/>
        <v>企业钦州保税港区管委</v>
      </c>
      <c r="BI165" s="201" t="str">
        <f t="shared" si="269"/>
        <v>产业钦州保税港区管委</v>
      </c>
      <c r="BJ165" s="204">
        <f t="shared" si="270"/>
        <v>0</v>
      </c>
      <c r="BK165" s="157" t="str">
        <f t="shared" si="271"/>
        <v>服务业商贸流通1000</v>
      </c>
      <c r="BL165" s="157" t="str">
        <f t="shared" si="272"/>
        <v>服务业商贸流通2000</v>
      </c>
      <c r="BM165" s="157" t="str">
        <f t="shared" si="273"/>
        <v>服务业商贸流通5000</v>
      </c>
      <c r="BN165" s="157"/>
      <c r="BO165" s="157">
        <f t="shared" si="274"/>
        <v>0</v>
      </c>
      <c r="BP165" s="157">
        <f t="shared" si="275"/>
        <v>0</v>
      </c>
      <c r="BQ165" s="157">
        <f t="shared" si="276"/>
        <v>0</v>
      </c>
      <c r="BR165" s="157">
        <f t="shared" si="277"/>
        <v>0</v>
      </c>
      <c r="BS165" s="157">
        <f t="shared" si="278"/>
        <v>0</v>
      </c>
      <c r="BT165" s="181"/>
      <c r="BU165" s="206"/>
      <c r="BW165" s="7"/>
      <c r="BX165" s="7"/>
      <c r="BY165" s="7"/>
      <c r="BZ165" s="7"/>
      <c r="CA165" s="7"/>
      <c r="CB165" s="4"/>
      <c r="CC165" s="4"/>
      <c r="CD165" s="4"/>
      <c r="CE165" s="4"/>
      <c r="CF165" s="4"/>
      <c r="CG165" s="4"/>
    </row>
    <row r="166" ht="60" customHeight="1" spans="1:85">
      <c r="A166" s="23">
        <f>SUBTOTAL(3,C$7:C166)</f>
        <v>128</v>
      </c>
      <c r="B166" s="55" t="s">
        <v>773</v>
      </c>
      <c r="C166" s="35" t="s">
        <v>562</v>
      </c>
      <c r="D166" s="55" t="s">
        <v>774</v>
      </c>
      <c r="E166" s="35" t="s">
        <v>575</v>
      </c>
      <c r="F166" s="36">
        <v>28950</v>
      </c>
      <c r="G166" s="36">
        <v>7272</v>
      </c>
      <c r="H166" s="123" t="s">
        <v>775</v>
      </c>
      <c r="I166" s="67">
        <v>3000</v>
      </c>
      <c r="J166" s="67">
        <v>7000</v>
      </c>
      <c r="K166" s="67">
        <v>10000</v>
      </c>
      <c r="L166" s="36">
        <v>10000</v>
      </c>
      <c r="M166" s="36"/>
      <c r="N166" s="111"/>
      <c r="O166" s="67"/>
      <c r="P166" s="90" t="s">
        <v>2500</v>
      </c>
      <c r="Q166" s="90" t="s">
        <v>117</v>
      </c>
      <c r="R166" s="132"/>
      <c r="S166" s="132"/>
      <c r="T166" s="132"/>
      <c r="U166" s="132"/>
      <c r="V166" s="132"/>
      <c r="W166" s="132"/>
      <c r="X166" s="132"/>
      <c r="Y166" s="132"/>
      <c r="Z166" s="132"/>
      <c r="AA166" s="132"/>
      <c r="AB166" s="132"/>
      <c r="AC166" s="132"/>
      <c r="AD166" s="132"/>
      <c r="AE166" s="132"/>
      <c r="AF166" s="132"/>
      <c r="AG166" s="132"/>
      <c r="AH166" s="132"/>
      <c r="AI166" s="90"/>
      <c r="AJ166" s="90" t="s">
        <v>117</v>
      </c>
      <c r="AK166" s="34" t="s">
        <v>776</v>
      </c>
      <c r="AL166" s="35" t="s">
        <v>2501</v>
      </c>
      <c r="AM166" s="35" t="s">
        <v>269</v>
      </c>
      <c r="AN166" s="91"/>
      <c r="AO166" s="157"/>
      <c r="AP166" s="158" t="s">
        <v>2110</v>
      </c>
      <c r="AQ166" s="158" t="s">
        <v>459</v>
      </c>
      <c r="AR166" s="158" t="str">
        <f t="shared" si="266"/>
        <v>服务业商贸流通</v>
      </c>
      <c r="AS166" s="158" t="str">
        <f t="shared" si="267"/>
        <v>商贸流通</v>
      </c>
      <c r="AT166" s="158"/>
      <c r="AU166" s="157"/>
      <c r="AV166" s="272"/>
      <c r="AW166" s="160"/>
      <c r="AX166" s="157"/>
      <c r="AY166" s="157"/>
      <c r="AZ166" s="157"/>
      <c r="BA166" s="157"/>
      <c r="BB166" s="157"/>
      <c r="BC166" s="157"/>
      <c r="BD166" s="157"/>
      <c r="BE166" s="157"/>
      <c r="BF166" s="201" t="s">
        <v>92</v>
      </c>
      <c r="BG166" s="203" t="s">
        <v>93</v>
      </c>
      <c r="BH166" s="201" t="str">
        <f t="shared" si="268"/>
        <v>企业灵山县人民政府</v>
      </c>
      <c r="BI166" s="201" t="str">
        <f t="shared" si="269"/>
        <v>产业灵山县人民政府</v>
      </c>
      <c r="BJ166" s="204">
        <f t="shared" si="270"/>
        <v>0</v>
      </c>
      <c r="BK166" s="157" t="str">
        <f t="shared" si="271"/>
        <v>服务业商贸流通1000</v>
      </c>
      <c r="BL166" s="157" t="str">
        <f t="shared" si="272"/>
        <v>服务业商贸流通2000</v>
      </c>
      <c r="BM166" s="157" t="str">
        <f t="shared" si="273"/>
        <v>服务业商贸流通5000</v>
      </c>
      <c r="BN166" s="157"/>
      <c r="BO166" s="157">
        <f t="shared" si="274"/>
        <v>0</v>
      </c>
      <c r="BP166" s="157">
        <f t="shared" si="275"/>
        <v>0</v>
      </c>
      <c r="BQ166" s="157">
        <f t="shared" si="276"/>
        <v>0</v>
      </c>
      <c r="BR166" s="157">
        <f t="shared" si="277"/>
        <v>0</v>
      </c>
      <c r="BS166" s="157">
        <f t="shared" si="278"/>
        <v>0</v>
      </c>
      <c r="BT166" s="181"/>
      <c r="BU166" s="206"/>
      <c r="BX166" s="206"/>
      <c r="CB166" s="4"/>
      <c r="CC166" s="4"/>
      <c r="CD166" s="4"/>
      <c r="CE166" s="4"/>
      <c r="CF166" s="4"/>
      <c r="CG166" s="4"/>
    </row>
    <row r="167" ht="51.75" customHeight="1" spans="1:85">
      <c r="A167" s="23">
        <f>SUBTOTAL(3,C$7:C167)</f>
        <v>129</v>
      </c>
      <c r="B167" s="55" t="s">
        <v>777</v>
      </c>
      <c r="C167" s="35" t="s">
        <v>562</v>
      </c>
      <c r="D167" s="55" t="s">
        <v>778</v>
      </c>
      <c r="E167" s="35" t="s">
        <v>564</v>
      </c>
      <c r="F167" s="36">
        <v>7000</v>
      </c>
      <c r="G167" s="36">
        <v>2000</v>
      </c>
      <c r="H167" s="123" t="s">
        <v>775</v>
      </c>
      <c r="I167" s="67">
        <v>500</v>
      </c>
      <c r="J167" s="67">
        <v>1000</v>
      </c>
      <c r="K167" s="67">
        <v>1500</v>
      </c>
      <c r="L167" s="36">
        <v>2000</v>
      </c>
      <c r="M167" s="36"/>
      <c r="N167" s="111"/>
      <c r="O167" s="67"/>
      <c r="P167" s="90" t="s">
        <v>2502</v>
      </c>
      <c r="Q167" s="90" t="s">
        <v>117</v>
      </c>
      <c r="R167" s="132"/>
      <c r="S167" s="132"/>
      <c r="T167" s="132"/>
      <c r="U167" s="132"/>
      <c r="V167" s="132"/>
      <c r="W167" s="132"/>
      <c r="X167" s="132"/>
      <c r="Y167" s="132"/>
      <c r="Z167" s="132"/>
      <c r="AA167" s="132"/>
      <c r="AB167" s="132"/>
      <c r="AC167" s="132"/>
      <c r="AD167" s="132"/>
      <c r="AE167" s="132"/>
      <c r="AF167" s="132"/>
      <c r="AG167" s="132"/>
      <c r="AH167" s="132"/>
      <c r="AI167" s="90"/>
      <c r="AJ167" s="90" t="s">
        <v>117</v>
      </c>
      <c r="AK167" s="34" t="s">
        <v>779</v>
      </c>
      <c r="AL167" s="35" t="s">
        <v>2503</v>
      </c>
      <c r="AM167" s="35" t="s">
        <v>269</v>
      </c>
      <c r="AN167" s="91"/>
      <c r="AO167" s="157"/>
      <c r="AP167" s="158" t="s">
        <v>2110</v>
      </c>
      <c r="AQ167" s="158" t="s">
        <v>459</v>
      </c>
      <c r="AR167" s="158" t="str">
        <f t="shared" si="266"/>
        <v>服务业商贸流通</v>
      </c>
      <c r="AS167" s="158" t="str">
        <f t="shared" si="267"/>
        <v>商贸流通</v>
      </c>
      <c r="AT167" s="158"/>
      <c r="AU167" s="157"/>
      <c r="AV167" s="272"/>
      <c r="AW167" s="160"/>
      <c r="AX167" s="157"/>
      <c r="AY167" s="157"/>
      <c r="AZ167" s="157"/>
      <c r="BA167" s="157"/>
      <c r="BB167" s="157"/>
      <c r="BC167" s="157"/>
      <c r="BD167" s="157"/>
      <c r="BE167" s="157"/>
      <c r="BF167" s="201" t="s">
        <v>92</v>
      </c>
      <c r="BG167" s="203" t="s">
        <v>93</v>
      </c>
      <c r="BH167" s="201" t="str">
        <f t="shared" si="268"/>
        <v>企业灵山县人民政府</v>
      </c>
      <c r="BI167" s="201" t="str">
        <f t="shared" si="269"/>
        <v>产业灵山县人民政府</v>
      </c>
      <c r="BJ167" s="204">
        <f t="shared" si="270"/>
        <v>0</v>
      </c>
      <c r="BK167" s="157" t="str">
        <f t="shared" si="271"/>
        <v>服务业商贸流通1000</v>
      </c>
      <c r="BL167" s="157" t="str">
        <f t="shared" si="272"/>
        <v>服务业商贸流通2000</v>
      </c>
      <c r="BM167" s="157" t="str">
        <f t="shared" si="273"/>
        <v/>
      </c>
      <c r="BN167" s="157"/>
      <c r="BO167" s="157">
        <f t="shared" si="274"/>
        <v>0</v>
      </c>
      <c r="BP167" s="157">
        <f t="shared" si="275"/>
        <v>0</v>
      </c>
      <c r="BQ167" s="157">
        <f t="shared" si="276"/>
        <v>0</v>
      </c>
      <c r="BR167" s="157">
        <f t="shared" si="277"/>
        <v>0</v>
      </c>
      <c r="BS167" s="157">
        <f t="shared" si="278"/>
        <v>0</v>
      </c>
      <c r="BT167" s="181"/>
      <c r="BU167" s="206"/>
      <c r="BX167" s="206"/>
      <c r="CB167" s="4"/>
      <c r="CC167" s="4"/>
      <c r="CD167" s="4"/>
      <c r="CE167" s="4"/>
      <c r="CF167" s="4"/>
      <c r="CG167" s="4"/>
    </row>
    <row r="168" ht="60" customHeight="1" spans="1:85">
      <c r="A168" s="23">
        <f>SUBTOTAL(3,C$7:C168)</f>
        <v>130</v>
      </c>
      <c r="B168" s="55" t="s">
        <v>780</v>
      </c>
      <c r="C168" s="35" t="s">
        <v>562</v>
      </c>
      <c r="D168" s="231" t="s">
        <v>781</v>
      </c>
      <c r="E168" s="35" t="s">
        <v>782</v>
      </c>
      <c r="F168" s="35">
        <v>56385</v>
      </c>
      <c r="G168" s="35">
        <v>10000</v>
      </c>
      <c r="H168" s="123" t="s">
        <v>2504</v>
      </c>
      <c r="I168" s="67">
        <v>300</v>
      </c>
      <c r="J168" s="67">
        <v>1000</v>
      </c>
      <c r="K168" s="67">
        <v>2500</v>
      </c>
      <c r="L168" s="35">
        <v>3000</v>
      </c>
      <c r="M168" s="35"/>
      <c r="N168" s="111"/>
      <c r="O168" s="67"/>
      <c r="P168" s="55" t="s">
        <v>2505</v>
      </c>
      <c r="Q168" s="90" t="s">
        <v>2506</v>
      </c>
      <c r="R168" s="132">
        <v>373.89</v>
      </c>
      <c r="S168" s="132">
        <v>40</v>
      </c>
      <c r="T168" s="132">
        <v>333.89</v>
      </c>
      <c r="U168" s="132">
        <v>287.1915</v>
      </c>
      <c r="V168" s="132">
        <v>287.1915</v>
      </c>
      <c r="W168" s="132"/>
      <c r="X168" s="132"/>
      <c r="Y168" s="132"/>
      <c r="Z168" s="132"/>
      <c r="AA168" s="132"/>
      <c r="AB168" s="132"/>
      <c r="AC168" s="132"/>
      <c r="AD168" s="132">
        <v>3000</v>
      </c>
      <c r="AE168" s="132"/>
      <c r="AF168" s="132"/>
      <c r="AG168" s="132"/>
      <c r="AH168" s="132">
        <v>3000</v>
      </c>
      <c r="AI168" s="90"/>
      <c r="AJ168" s="90" t="s">
        <v>784</v>
      </c>
      <c r="AK168" s="647" t="s">
        <v>785</v>
      </c>
      <c r="AL168" s="67" t="s">
        <v>2038</v>
      </c>
      <c r="AM168" s="35" t="s">
        <v>317</v>
      </c>
      <c r="AN168" s="91"/>
      <c r="AO168" s="157"/>
      <c r="AP168" s="158" t="s">
        <v>2110</v>
      </c>
      <c r="AQ168" s="158" t="s">
        <v>459</v>
      </c>
      <c r="AR168" s="158" t="str">
        <f t="shared" si="266"/>
        <v>服务业商贸流通</v>
      </c>
      <c r="AS168" s="158" t="str">
        <f t="shared" si="267"/>
        <v>商贸流通</v>
      </c>
      <c r="AT168" s="158"/>
      <c r="AU168" s="157"/>
      <c r="AV168" s="272"/>
      <c r="AW168" s="160"/>
      <c r="AX168" s="157"/>
      <c r="AY168" s="157"/>
      <c r="AZ168" s="157"/>
      <c r="BA168" s="157"/>
      <c r="BB168" s="157"/>
      <c r="BC168" s="157"/>
      <c r="BD168" s="157"/>
      <c r="BE168" s="157"/>
      <c r="BF168" s="201" t="s">
        <v>205</v>
      </c>
      <c r="BG168" s="203" t="s">
        <v>93</v>
      </c>
      <c r="BH168" s="201" t="str">
        <f t="shared" si="268"/>
        <v>政府浦北县人民政府</v>
      </c>
      <c r="BI168" s="201" t="str">
        <f t="shared" si="269"/>
        <v>产业浦北县人民政府</v>
      </c>
      <c r="BJ168" s="204">
        <f t="shared" si="270"/>
        <v>0</v>
      </c>
      <c r="BK168" s="157" t="str">
        <f t="shared" si="271"/>
        <v>服务业商贸流通1000</v>
      </c>
      <c r="BL168" s="157" t="str">
        <f t="shared" si="272"/>
        <v>服务业商贸流通2000</v>
      </c>
      <c r="BM168" s="157" t="str">
        <f t="shared" si="273"/>
        <v/>
      </c>
      <c r="BN168" s="157"/>
      <c r="BO168" s="157">
        <f t="shared" si="274"/>
        <v>1</v>
      </c>
      <c r="BP168" s="157">
        <f t="shared" si="275"/>
        <v>0</v>
      </c>
      <c r="BQ168" s="157">
        <f t="shared" si="276"/>
        <v>1</v>
      </c>
      <c r="BR168" s="157">
        <f t="shared" si="277"/>
        <v>0</v>
      </c>
      <c r="BS168" s="157">
        <f t="shared" si="278"/>
        <v>1</v>
      </c>
      <c r="BT168" s="181"/>
      <c r="BU168" s="206"/>
      <c r="BX168" s="206"/>
      <c r="CB168" s="4"/>
      <c r="CC168" s="4"/>
      <c r="CD168" s="4"/>
      <c r="CE168" s="4"/>
      <c r="CF168" s="4"/>
      <c r="CG168" s="4"/>
    </row>
    <row r="169" s="9" customFormat="1" ht="30" customHeight="1" spans="1:72">
      <c r="A169" s="551"/>
      <c r="B169" s="557" t="str">
        <f>"旅游（"&amp;SUBTOTAL(3,C170:C174)&amp;"个）"</f>
        <v>旅游（5个）</v>
      </c>
      <c r="C169" s="551"/>
      <c r="D169" s="55"/>
      <c r="E169" s="551"/>
      <c r="F169" s="134">
        <f t="shared" ref="F169:M169" si="279">SUBTOTAL(9,F170:F174)</f>
        <v>123880</v>
      </c>
      <c r="G169" s="134">
        <f t="shared" si="279"/>
        <v>35986</v>
      </c>
      <c r="H169" s="134"/>
      <c r="I169" s="134">
        <f t="shared" si="279"/>
        <v>1260</v>
      </c>
      <c r="J169" s="134">
        <f t="shared" si="279"/>
        <v>3450</v>
      </c>
      <c r="K169" s="134">
        <f t="shared" si="279"/>
        <v>5800</v>
      </c>
      <c r="L169" s="134">
        <f t="shared" si="279"/>
        <v>8000</v>
      </c>
      <c r="M169" s="134">
        <f t="shared" si="279"/>
        <v>0</v>
      </c>
      <c r="N169" s="134">
        <f t="shared" ref="N169:AI169" si="280">SUBTOTAL(9,N170:N174)</f>
        <v>0</v>
      </c>
      <c r="O169" s="134">
        <f t="shared" si="280"/>
        <v>0</v>
      </c>
      <c r="P169" s="134">
        <f t="shared" si="280"/>
        <v>0</v>
      </c>
      <c r="Q169" s="134">
        <f t="shared" si="280"/>
        <v>0</v>
      </c>
      <c r="R169" s="134">
        <f t="shared" si="280"/>
        <v>2195</v>
      </c>
      <c r="S169" s="134">
        <f t="shared" si="280"/>
        <v>540</v>
      </c>
      <c r="T169" s="134">
        <f t="shared" si="280"/>
        <v>1655</v>
      </c>
      <c r="U169" s="134">
        <f t="shared" si="280"/>
        <v>0</v>
      </c>
      <c r="V169" s="134">
        <f t="shared" si="280"/>
        <v>0</v>
      </c>
      <c r="W169" s="134">
        <f t="shared" si="280"/>
        <v>0</v>
      </c>
      <c r="X169" s="134">
        <f t="shared" si="280"/>
        <v>0</v>
      </c>
      <c r="Y169" s="134">
        <f t="shared" si="280"/>
        <v>0</v>
      </c>
      <c r="Z169" s="134">
        <f t="shared" si="280"/>
        <v>0</v>
      </c>
      <c r="AA169" s="134">
        <f t="shared" si="280"/>
        <v>500</v>
      </c>
      <c r="AB169" s="134">
        <f t="shared" si="280"/>
        <v>0</v>
      </c>
      <c r="AC169" s="134">
        <f t="shared" si="280"/>
        <v>500</v>
      </c>
      <c r="AD169" s="134">
        <f t="shared" si="280"/>
        <v>12000</v>
      </c>
      <c r="AE169" s="134"/>
      <c r="AF169" s="134">
        <f t="shared" si="280"/>
        <v>1900</v>
      </c>
      <c r="AG169" s="134"/>
      <c r="AH169" s="134">
        <f t="shared" si="280"/>
        <v>10100</v>
      </c>
      <c r="AI169" s="134">
        <f t="shared" si="280"/>
        <v>0</v>
      </c>
      <c r="AJ169" s="90"/>
      <c r="AK169" s="591"/>
      <c r="AL169" s="134"/>
      <c r="AM169" s="134"/>
      <c r="AN169" s="91"/>
      <c r="AO169" s="165"/>
      <c r="AP169" s="158"/>
      <c r="AQ169" s="158"/>
      <c r="AR169" s="158"/>
      <c r="AS169" s="158"/>
      <c r="AT169" s="158"/>
      <c r="AU169" s="165"/>
      <c r="AV169" s="169"/>
      <c r="AW169" s="165"/>
      <c r="AX169" s="165"/>
      <c r="AY169" s="165"/>
      <c r="AZ169" s="165"/>
      <c r="BA169" s="165"/>
      <c r="BB169" s="169"/>
      <c r="BC169" s="169"/>
      <c r="BD169" s="169"/>
      <c r="BE169" s="165"/>
      <c r="BF169" s="201"/>
      <c r="BG169" s="685"/>
      <c r="BK169" s="201"/>
      <c r="BL169" s="201"/>
      <c r="BM169" s="201"/>
      <c r="BN169" s="201"/>
      <c r="BO169" s="201"/>
      <c r="BP169" s="201"/>
      <c r="BQ169" s="201"/>
      <c r="BR169" s="201"/>
      <c r="BS169" s="201"/>
      <c r="BT169" s="181"/>
    </row>
    <row r="170" ht="87.75" customHeight="1" spans="1:85">
      <c r="A170" s="23">
        <f>SUBTOTAL(3,C$7:C170)</f>
        <v>131</v>
      </c>
      <c r="B170" s="55" t="s">
        <v>799</v>
      </c>
      <c r="C170" s="35" t="s">
        <v>562</v>
      </c>
      <c r="D170" s="55" t="s">
        <v>800</v>
      </c>
      <c r="E170" s="35" t="s">
        <v>564</v>
      </c>
      <c r="F170" s="36">
        <v>18000</v>
      </c>
      <c r="G170" s="36">
        <v>7900</v>
      </c>
      <c r="H170" s="123" t="s">
        <v>801</v>
      </c>
      <c r="I170" s="67">
        <v>260</v>
      </c>
      <c r="J170" s="67">
        <v>850</v>
      </c>
      <c r="K170" s="67">
        <v>1500</v>
      </c>
      <c r="L170" s="36">
        <v>2000</v>
      </c>
      <c r="M170" s="36"/>
      <c r="N170" s="56"/>
      <c r="O170" s="578"/>
      <c r="P170" s="90" t="s">
        <v>2507</v>
      </c>
      <c r="Q170" s="90" t="s">
        <v>117</v>
      </c>
      <c r="R170" s="132">
        <v>1245</v>
      </c>
      <c r="S170" s="132">
        <v>500</v>
      </c>
      <c r="T170" s="132">
        <v>745</v>
      </c>
      <c r="U170" s="132"/>
      <c r="V170" s="132"/>
      <c r="W170" s="132"/>
      <c r="X170" s="132"/>
      <c r="Y170" s="132"/>
      <c r="Z170" s="132"/>
      <c r="AA170" s="132"/>
      <c r="AB170" s="132"/>
      <c r="AC170" s="132"/>
      <c r="AD170" s="132">
        <v>2000</v>
      </c>
      <c r="AE170" s="132"/>
      <c r="AF170" s="132"/>
      <c r="AG170" s="132"/>
      <c r="AH170" s="132">
        <v>2000</v>
      </c>
      <c r="AI170" s="90"/>
      <c r="AJ170" s="90" t="s">
        <v>117</v>
      </c>
      <c r="AK170" s="34" t="s">
        <v>802</v>
      </c>
      <c r="AL170" s="35" t="s">
        <v>2508</v>
      </c>
      <c r="AM170" s="35" t="s">
        <v>359</v>
      </c>
      <c r="AN170" s="91"/>
      <c r="AO170" s="157"/>
      <c r="AP170" s="158" t="s">
        <v>2121</v>
      </c>
      <c r="AQ170" s="158" t="s">
        <v>459</v>
      </c>
      <c r="AR170" s="158" t="str">
        <f t="shared" ref="AR170:AR174" si="281">AQ170&amp;AP170</f>
        <v>服务业旅游</v>
      </c>
      <c r="AS170" s="158" t="s">
        <v>2051</v>
      </c>
      <c r="AT170" s="158"/>
      <c r="AU170" s="157"/>
      <c r="AV170" s="272"/>
      <c r="AW170" s="160"/>
      <c r="AX170" s="157"/>
      <c r="AY170" s="157"/>
      <c r="AZ170" s="157"/>
      <c r="BA170" s="157"/>
      <c r="BB170" s="157"/>
      <c r="BC170" s="157"/>
      <c r="BD170" s="157"/>
      <c r="BE170" s="157"/>
      <c r="BF170" s="157" t="s">
        <v>92</v>
      </c>
      <c r="BG170" s="203" t="s">
        <v>93</v>
      </c>
      <c r="BH170" s="201" t="str">
        <f t="shared" ref="BH170:BH174" si="282">BF170&amp;AM170</f>
        <v>企业钦南区人民政府</v>
      </c>
      <c r="BI170" s="201" t="str">
        <f t="shared" ref="BI170:BI174" si="283">BG170&amp;AM170</f>
        <v>产业钦南区人民政府</v>
      </c>
      <c r="BJ170" s="204">
        <f t="shared" ref="BJ170:BJ174" si="284">IF(N170&gt;0,1,0)</f>
        <v>0</v>
      </c>
      <c r="BK170" s="157" t="str">
        <f t="shared" ref="BK170:BK174" si="285">IF(L170&lt;1000,"",AR170&amp;"1000")</f>
        <v>服务业旅游1000</v>
      </c>
      <c r="BL170" s="157" t="str">
        <f t="shared" ref="BL170:BL174" si="286">IF(L170&lt;2000,"",AR170&amp;"2000")</f>
        <v>服务业旅游2000</v>
      </c>
      <c r="BM170" s="157" t="str">
        <f t="shared" ref="BM170:BM174" si="287">IF(L170&lt;5000,"",AR170&amp;"5000")</f>
        <v/>
      </c>
      <c r="BN170" s="611"/>
      <c r="BO170" s="157">
        <f t="shared" ref="BO170:BO174" si="288">IF(R170&gt;0,1,0)</f>
        <v>1</v>
      </c>
      <c r="BP170" s="157">
        <f t="shared" ref="BP170:BP174" si="289">IF(X170&gt;0,1,0)</f>
        <v>0</v>
      </c>
      <c r="BQ170" s="157">
        <f t="shared" ref="BQ170:BQ174" si="290">IF(U170&gt;0,1,0)</f>
        <v>0</v>
      </c>
      <c r="BR170" s="157">
        <f t="shared" ref="BR170:BR174" si="291">IF(AA170&gt;0,1,0)</f>
        <v>0</v>
      </c>
      <c r="BS170" s="157">
        <f t="shared" ref="BS170:BS174" si="292">IF(AD170&gt;0,1,0)</f>
        <v>1</v>
      </c>
      <c r="BT170" s="611"/>
      <c r="BU170" s="206"/>
      <c r="BX170" s="206"/>
      <c r="CB170" s="4"/>
      <c r="CC170" s="4"/>
      <c r="CD170" s="4"/>
      <c r="CE170" s="4"/>
      <c r="CF170" s="4"/>
      <c r="CG170" s="4"/>
    </row>
    <row r="171" ht="87.75" customHeight="1" spans="1:85">
      <c r="A171" s="23">
        <f>SUBTOTAL(3,C$7:C171)</f>
        <v>132</v>
      </c>
      <c r="B171" s="55" t="s">
        <v>803</v>
      </c>
      <c r="C171" s="35" t="s">
        <v>562</v>
      </c>
      <c r="D171" s="60" t="s">
        <v>804</v>
      </c>
      <c r="E171" s="35" t="s">
        <v>564</v>
      </c>
      <c r="F171" s="67">
        <v>20000</v>
      </c>
      <c r="G171" s="67">
        <v>486</v>
      </c>
      <c r="H171" s="123" t="s">
        <v>805</v>
      </c>
      <c r="I171" s="67">
        <v>500</v>
      </c>
      <c r="J171" s="67">
        <v>1200</v>
      </c>
      <c r="K171" s="67">
        <v>2000</v>
      </c>
      <c r="L171" s="36">
        <v>2500</v>
      </c>
      <c r="M171" s="36"/>
      <c r="N171" s="111"/>
      <c r="O171" s="726"/>
      <c r="P171" s="90" t="s">
        <v>2509</v>
      </c>
      <c r="Q171" s="90" t="s">
        <v>2497</v>
      </c>
      <c r="R171" s="132"/>
      <c r="S171" s="132"/>
      <c r="T171" s="132"/>
      <c r="U171" s="132"/>
      <c r="V171" s="132"/>
      <c r="W171" s="132"/>
      <c r="X171" s="132"/>
      <c r="Y171" s="132"/>
      <c r="Z171" s="132"/>
      <c r="AA171" s="132"/>
      <c r="AB171" s="132"/>
      <c r="AC171" s="132"/>
      <c r="AD171" s="132">
        <v>4000</v>
      </c>
      <c r="AE171" s="132"/>
      <c r="AF171" s="132">
        <v>1000</v>
      </c>
      <c r="AG171" s="132"/>
      <c r="AH171" s="132">
        <v>3000</v>
      </c>
      <c r="AI171" s="90"/>
      <c r="AJ171" s="90" t="s">
        <v>806</v>
      </c>
      <c r="AK171" s="34" t="s">
        <v>807</v>
      </c>
      <c r="AL171" s="35" t="s">
        <v>2510</v>
      </c>
      <c r="AM171" s="35" t="s">
        <v>375</v>
      </c>
      <c r="AN171" s="91"/>
      <c r="AO171" s="157"/>
      <c r="AP171" s="158" t="s">
        <v>2121</v>
      </c>
      <c r="AQ171" s="158" t="s">
        <v>459</v>
      </c>
      <c r="AR171" s="158" t="str">
        <f t="shared" si="281"/>
        <v>服务业旅游</v>
      </c>
      <c r="AS171" s="158" t="s">
        <v>2051</v>
      </c>
      <c r="AT171" s="158"/>
      <c r="AU171" s="157"/>
      <c r="AV171" s="159"/>
      <c r="AW171" s="160"/>
      <c r="AX171" s="157"/>
      <c r="AY171" s="157"/>
      <c r="AZ171" s="157"/>
      <c r="BA171" s="157"/>
      <c r="BB171" s="157"/>
      <c r="BC171" s="157"/>
      <c r="BD171" s="157"/>
      <c r="BE171" s="157"/>
      <c r="BF171" s="157" t="s">
        <v>205</v>
      </c>
      <c r="BG171" s="203" t="s">
        <v>93</v>
      </c>
      <c r="BH171" s="201" t="str">
        <f t="shared" si="282"/>
        <v>政府钦北区人民政府</v>
      </c>
      <c r="BI171" s="201" t="str">
        <f t="shared" si="283"/>
        <v>产业钦北区人民政府</v>
      </c>
      <c r="BJ171" s="204">
        <f t="shared" si="284"/>
        <v>0</v>
      </c>
      <c r="BK171" s="157" t="str">
        <f t="shared" si="285"/>
        <v>服务业旅游1000</v>
      </c>
      <c r="BL171" s="157" t="str">
        <f t="shared" si="286"/>
        <v>服务业旅游2000</v>
      </c>
      <c r="BM171" s="157" t="str">
        <f t="shared" si="287"/>
        <v/>
      </c>
      <c r="BN171" s="157"/>
      <c r="BO171" s="157">
        <f t="shared" si="288"/>
        <v>0</v>
      </c>
      <c r="BP171" s="157">
        <f t="shared" si="289"/>
        <v>0</v>
      </c>
      <c r="BQ171" s="157">
        <f t="shared" si="290"/>
        <v>0</v>
      </c>
      <c r="BR171" s="157">
        <f t="shared" si="291"/>
        <v>0</v>
      </c>
      <c r="BS171" s="157">
        <f t="shared" si="292"/>
        <v>1</v>
      </c>
      <c r="BT171" s="181"/>
      <c r="BU171" s="206"/>
      <c r="BX171" s="206"/>
      <c r="CB171" s="4"/>
      <c r="CC171" s="4"/>
      <c r="CD171" s="4"/>
      <c r="CE171" s="4"/>
      <c r="CF171" s="4"/>
      <c r="CG171" s="4"/>
    </row>
    <row r="172" ht="78.75" customHeight="1" spans="1:85">
      <c r="A172" s="23">
        <f>SUBTOTAL(3,C$7:C172)</f>
        <v>133</v>
      </c>
      <c r="B172" s="55" t="s">
        <v>786</v>
      </c>
      <c r="C172" s="35" t="s">
        <v>562</v>
      </c>
      <c r="D172" s="231" t="s">
        <v>787</v>
      </c>
      <c r="E172" s="35" t="s">
        <v>575</v>
      </c>
      <c r="F172" s="35">
        <v>65680</v>
      </c>
      <c r="G172" s="35">
        <v>20000</v>
      </c>
      <c r="H172" s="123" t="s">
        <v>788</v>
      </c>
      <c r="I172" s="67">
        <v>200</v>
      </c>
      <c r="J172" s="67">
        <v>500</v>
      </c>
      <c r="K172" s="67">
        <v>700</v>
      </c>
      <c r="L172" s="35">
        <v>1000</v>
      </c>
      <c r="M172" s="35"/>
      <c r="N172" s="111"/>
      <c r="O172" s="67"/>
      <c r="P172" s="55" t="s">
        <v>2511</v>
      </c>
      <c r="Q172" s="90" t="s">
        <v>2512</v>
      </c>
      <c r="R172" s="132">
        <v>450</v>
      </c>
      <c r="S172" s="132">
        <v>40</v>
      </c>
      <c r="T172" s="132">
        <v>410</v>
      </c>
      <c r="U172" s="132"/>
      <c r="V172" s="132"/>
      <c r="W172" s="132"/>
      <c r="X172" s="132"/>
      <c r="Y172" s="132"/>
      <c r="Z172" s="132"/>
      <c r="AA172" s="132"/>
      <c r="AB172" s="132"/>
      <c r="AC172" s="132"/>
      <c r="AD172" s="132">
        <v>5000</v>
      </c>
      <c r="AE172" s="132"/>
      <c r="AF172" s="132"/>
      <c r="AG172" s="132"/>
      <c r="AH172" s="132">
        <v>5000</v>
      </c>
      <c r="AI172" s="90"/>
      <c r="AJ172" s="90" t="s">
        <v>789</v>
      </c>
      <c r="AK172" s="647" t="s">
        <v>785</v>
      </c>
      <c r="AL172" s="67" t="s">
        <v>2403</v>
      </c>
      <c r="AM172" s="35" t="s">
        <v>317</v>
      </c>
      <c r="AN172" s="91"/>
      <c r="AO172" s="157"/>
      <c r="AP172" s="158" t="s">
        <v>2121</v>
      </c>
      <c r="AQ172" s="158" t="s">
        <v>459</v>
      </c>
      <c r="AR172" s="158" t="str">
        <f t="shared" si="281"/>
        <v>服务业旅游</v>
      </c>
      <c r="AS172" s="158" t="s">
        <v>2051</v>
      </c>
      <c r="AT172" s="158"/>
      <c r="AU172" s="161"/>
      <c r="AV172" s="161"/>
      <c r="AW172" s="160"/>
      <c r="AX172" s="157"/>
      <c r="AY172" s="157"/>
      <c r="AZ172" s="157"/>
      <c r="BA172" s="157"/>
      <c r="BB172" s="157"/>
      <c r="BC172" s="157"/>
      <c r="BD172" s="157"/>
      <c r="BE172" s="157"/>
      <c r="BF172" s="201" t="s">
        <v>205</v>
      </c>
      <c r="BG172" s="203" t="s">
        <v>93</v>
      </c>
      <c r="BH172" s="201" t="str">
        <f t="shared" si="282"/>
        <v>政府浦北县人民政府</v>
      </c>
      <c r="BI172" s="201" t="str">
        <f t="shared" si="283"/>
        <v>产业浦北县人民政府</v>
      </c>
      <c r="BJ172" s="204">
        <f t="shared" si="284"/>
        <v>0</v>
      </c>
      <c r="BK172" s="157" t="str">
        <f t="shared" si="285"/>
        <v>服务业旅游1000</v>
      </c>
      <c r="BL172" s="157" t="str">
        <f t="shared" si="286"/>
        <v/>
      </c>
      <c r="BM172" s="157" t="str">
        <f t="shared" si="287"/>
        <v/>
      </c>
      <c r="BN172" s="157"/>
      <c r="BO172" s="157">
        <f t="shared" si="288"/>
        <v>1</v>
      </c>
      <c r="BP172" s="157">
        <f t="shared" si="289"/>
        <v>0</v>
      </c>
      <c r="BQ172" s="157">
        <f t="shared" si="290"/>
        <v>0</v>
      </c>
      <c r="BR172" s="157">
        <f t="shared" si="291"/>
        <v>0</v>
      </c>
      <c r="BS172" s="157">
        <f t="shared" si="292"/>
        <v>1</v>
      </c>
      <c r="BT172" s="157"/>
      <c r="BU172" s="206"/>
      <c r="CB172" s="4"/>
      <c r="CC172" s="4"/>
      <c r="CD172" s="4"/>
      <c r="CE172" s="4"/>
      <c r="CF172" s="4"/>
      <c r="CG172" s="4"/>
    </row>
    <row r="173" ht="86.25" customHeight="1" spans="1:85">
      <c r="A173" s="23">
        <f>SUBTOTAL(3,C$7:C173)</f>
        <v>134</v>
      </c>
      <c r="B173" s="60" t="s">
        <v>790</v>
      </c>
      <c r="C173" s="35" t="s">
        <v>562</v>
      </c>
      <c r="D173" s="231" t="s">
        <v>791</v>
      </c>
      <c r="E173" s="35" t="s">
        <v>575</v>
      </c>
      <c r="F173" s="35">
        <v>15000</v>
      </c>
      <c r="G173" s="35">
        <v>6080</v>
      </c>
      <c r="H173" s="123" t="s">
        <v>792</v>
      </c>
      <c r="I173" s="67">
        <v>300</v>
      </c>
      <c r="J173" s="67">
        <v>800</v>
      </c>
      <c r="K173" s="67">
        <v>1300</v>
      </c>
      <c r="L173" s="35">
        <v>2000</v>
      </c>
      <c r="M173" s="35"/>
      <c r="N173" s="111"/>
      <c r="O173" s="67"/>
      <c r="P173" s="55" t="s">
        <v>2513</v>
      </c>
      <c r="Q173" s="90" t="s">
        <v>2514</v>
      </c>
      <c r="R173" s="132"/>
      <c r="S173" s="132"/>
      <c r="T173" s="132"/>
      <c r="U173" s="132"/>
      <c r="V173" s="132"/>
      <c r="W173" s="132"/>
      <c r="X173" s="132"/>
      <c r="Y173" s="132"/>
      <c r="Z173" s="132"/>
      <c r="AA173" s="132"/>
      <c r="AB173" s="132"/>
      <c r="AC173" s="132"/>
      <c r="AD173" s="132"/>
      <c r="AE173" s="132"/>
      <c r="AF173" s="132"/>
      <c r="AG173" s="132"/>
      <c r="AH173" s="132"/>
      <c r="AI173" s="90"/>
      <c r="AJ173" s="90" t="s">
        <v>793</v>
      </c>
      <c r="AK173" s="647" t="s">
        <v>2515</v>
      </c>
      <c r="AL173" s="67" t="s">
        <v>2516</v>
      </c>
      <c r="AM173" s="35" t="s">
        <v>317</v>
      </c>
      <c r="AN173" s="91"/>
      <c r="AO173" s="157"/>
      <c r="AP173" s="158" t="s">
        <v>2121</v>
      </c>
      <c r="AQ173" s="158" t="s">
        <v>459</v>
      </c>
      <c r="AR173" s="158" t="str">
        <f t="shared" si="281"/>
        <v>服务业旅游</v>
      </c>
      <c r="AS173" s="158" t="s">
        <v>2051</v>
      </c>
      <c r="AT173" s="158"/>
      <c r="AU173" s="157"/>
      <c r="AV173" s="272"/>
      <c r="AW173" s="160"/>
      <c r="AX173" s="157"/>
      <c r="AY173" s="157"/>
      <c r="AZ173" s="157"/>
      <c r="BA173" s="157"/>
      <c r="BB173" s="157"/>
      <c r="BC173" s="157"/>
      <c r="BD173" s="157"/>
      <c r="BE173" s="157"/>
      <c r="BF173" s="201" t="s">
        <v>205</v>
      </c>
      <c r="BG173" s="203" t="s">
        <v>93</v>
      </c>
      <c r="BH173" s="201" t="str">
        <f t="shared" si="282"/>
        <v>政府浦北县人民政府</v>
      </c>
      <c r="BI173" s="201" t="str">
        <f t="shared" si="283"/>
        <v>产业浦北县人民政府</v>
      </c>
      <c r="BJ173" s="204">
        <f t="shared" si="284"/>
        <v>0</v>
      </c>
      <c r="BK173" s="157" t="str">
        <f t="shared" si="285"/>
        <v>服务业旅游1000</v>
      </c>
      <c r="BL173" s="157" t="str">
        <f t="shared" si="286"/>
        <v>服务业旅游2000</v>
      </c>
      <c r="BM173" s="157" t="str">
        <f t="shared" si="287"/>
        <v/>
      </c>
      <c r="BN173" s="157"/>
      <c r="BO173" s="157">
        <f t="shared" si="288"/>
        <v>0</v>
      </c>
      <c r="BP173" s="157">
        <f t="shared" si="289"/>
        <v>0</v>
      </c>
      <c r="BQ173" s="157">
        <f t="shared" si="290"/>
        <v>0</v>
      </c>
      <c r="BR173" s="157">
        <f t="shared" si="291"/>
        <v>0</v>
      </c>
      <c r="BS173" s="157">
        <f t="shared" si="292"/>
        <v>0</v>
      </c>
      <c r="BT173" s="181"/>
      <c r="BU173" s="206"/>
      <c r="BX173" s="206"/>
      <c r="CB173" s="4"/>
      <c r="CC173" s="4"/>
      <c r="CD173" s="4"/>
      <c r="CE173" s="4"/>
      <c r="CF173" s="4"/>
      <c r="CG173" s="4"/>
    </row>
    <row r="174" ht="75.75" customHeight="1" spans="1:85">
      <c r="A174" s="23">
        <f>SUBTOTAL(3,C$7:C174)</f>
        <v>135</v>
      </c>
      <c r="B174" s="55" t="s">
        <v>795</v>
      </c>
      <c r="C174" s="35" t="s">
        <v>562</v>
      </c>
      <c r="D174" s="231" t="s">
        <v>796</v>
      </c>
      <c r="E174" s="35" t="s">
        <v>604</v>
      </c>
      <c r="F174" s="35">
        <v>5200</v>
      </c>
      <c r="G174" s="35">
        <v>1520</v>
      </c>
      <c r="H174" s="123" t="s">
        <v>797</v>
      </c>
      <c r="I174" s="67"/>
      <c r="J174" s="67">
        <v>100</v>
      </c>
      <c r="K174" s="67">
        <v>300</v>
      </c>
      <c r="L174" s="35">
        <v>500</v>
      </c>
      <c r="M174" s="35"/>
      <c r="N174" s="111"/>
      <c r="O174" s="67"/>
      <c r="P174" s="55" t="s">
        <v>2517</v>
      </c>
      <c r="Q174" s="90" t="s">
        <v>2518</v>
      </c>
      <c r="R174" s="132">
        <v>500</v>
      </c>
      <c r="S174" s="132"/>
      <c r="T174" s="132">
        <v>500</v>
      </c>
      <c r="U174" s="132"/>
      <c r="V174" s="132"/>
      <c r="W174" s="132"/>
      <c r="X174" s="132"/>
      <c r="Y174" s="132"/>
      <c r="Z174" s="132"/>
      <c r="AA174" s="132">
        <v>500</v>
      </c>
      <c r="AB174" s="132"/>
      <c r="AC174" s="132">
        <v>500</v>
      </c>
      <c r="AD174" s="132">
        <v>1000</v>
      </c>
      <c r="AE174" s="132"/>
      <c r="AF174" s="132">
        <v>900</v>
      </c>
      <c r="AG174" s="132"/>
      <c r="AH174" s="132">
        <v>100</v>
      </c>
      <c r="AI174" s="90"/>
      <c r="AJ174" s="90" t="s">
        <v>798</v>
      </c>
      <c r="AK174" s="647" t="s">
        <v>785</v>
      </c>
      <c r="AL174" s="67" t="s">
        <v>2519</v>
      </c>
      <c r="AM174" s="35" t="s">
        <v>317</v>
      </c>
      <c r="AN174" s="91"/>
      <c r="AO174" s="157"/>
      <c r="AP174" s="158" t="s">
        <v>2121</v>
      </c>
      <c r="AQ174" s="158" t="s">
        <v>459</v>
      </c>
      <c r="AR174" s="158" t="str">
        <f t="shared" si="281"/>
        <v>服务业旅游</v>
      </c>
      <c r="AS174" s="158" t="s">
        <v>2051</v>
      </c>
      <c r="AT174" s="158"/>
      <c r="AU174" s="157"/>
      <c r="AV174" s="272"/>
      <c r="AW174" s="160"/>
      <c r="AX174" s="157"/>
      <c r="AY174" s="157"/>
      <c r="AZ174" s="157"/>
      <c r="BA174" s="157"/>
      <c r="BB174" s="157"/>
      <c r="BC174" s="157"/>
      <c r="BD174" s="157"/>
      <c r="BE174" s="157"/>
      <c r="BF174" s="201" t="s">
        <v>205</v>
      </c>
      <c r="BG174" s="203" t="s">
        <v>93</v>
      </c>
      <c r="BH174" s="201" t="str">
        <f t="shared" si="282"/>
        <v>政府浦北县人民政府</v>
      </c>
      <c r="BI174" s="201" t="str">
        <f t="shared" si="283"/>
        <v>产业浦北县人民政府</v>
      </c>
      <c r="BJ174" s="204">
        <f t="shared" si="284"/>
        <v>0</v>
      </c>
      <c r="BK174" s="157" t="str">
        <f t="shared" si="285"/>
        <v/>
      </c>
      <c r="BL174" s="157" t="str">
        <f t="shared" si="286"/>
        <v/>
      </c>
      <c r="BM174" s="157" t="str">
        <f t="shared" si="287"/>
        <v/>
      </c>
      <c r="BN174" s="157"/>
      <c r="BO174" s="157">
        <f t="shared" si="288"/>
        <v>1</v>
      </c>
      <c r="BP174" s="157">
        <f t="shared" si="289"/>
        <v>0</v>
      </c>
      <c r="BQ174" s="157">
        <f t="shared" si="290"/>
        <v>0</v>
      </c>
      <c r="BR174" s="157">
        <f t="shared" si="291"/>
        <v>1</v>
      </c>
      <c r="BS174" s="157">
        <f t="shared" si="292"/>
        <v>1</v>
      </c>
      <c r="BT174" s="181"/>
      <c r="BU174" s="206"/>
      <c r="BX174" s="206"/>
      <c r="CB174" s="4"/>
      <c r="CC174" s="4"/>
      <c r="CD174" s="4"/>
      <c r="CE174" s="4"/>
      <c r="CF174" s="4"/>
      <c r="CG174" s="4"/>
    </row>
    <row r="175" s="9" customFormat="1" ht="30" customHeight="1" spans="1:72">
      <c r="A175" s="551"/>
      <c r="B175" s="557" t="str">
        <f>"信息服务（"&amp;SUBTOTAL(3,C176:C178)&amp;"个）"</f>
        <v>信息服务（3个）</v>
      </c>
      <c r="C175" s="551"/>
      <c r="D175" s="55"/>
      <c r="E175" s="551"/>
      <c r="F175" s="134">
        <f t="shared" ref="F175:M175" si="293">SUBTOTAL(9,F176:F178)</f>
        <v>167000</v>
      </c>
      <c r="G175" s="134">
        <f t="shared" si="293"/>
        <v>60000</v>
      </c>
      <c r="H175" s="134"/>
      <c r="I175" s="134">
        <f t="shared" si="293"/>
        <v>2700</v>
      </c>
      <c r="J175" s="134">
        <f t="shared" si="293"/>
        <v>6700</v>
      </c>
      <c r="K175" s="134">
        <f t="shared" si="293"/>
        <v>11900</v>
      </c>
      <c r="L175" s="134">
        <f t="shared" si="293"/>
        <v>18700</v>
      </c>
      <c r="M175" s="134">
        <f t="shared" si="293"/>
        <v>0</v>
      </c>
      <c r="N175" s="134"/>
      <c r="O175" s="134"/>
      <c r="P175" s="90"/>
      <c r="Q175" s="90"/>
      <c r="R175" s="132"/>
      <c r="S175" s="132"/>
      <c r="T175" s="132"/>
      <c r="U175" s="132"/>
      <c r="V175" s="132"/>
      <c r="W175" s="132"/>
      <c r="X175" s="132"/>
      <c r="Y175" s="132"/>
      <c r="Z175" s="132"/>
      <c r="AA175" s="132"/>
      <c r="AB175" s="132"/>
      <c r="AC175" s="132"/>
      <c r="AD175" s="132"/>
      <c r="AE175" s="132"/>
      <c r="AF175" s="132"/>
      <c r="AG175" s="132"/>
      <c r="AH175" s="132"/>
      <c r="AI175" s="90"/>
      <c r="AJ175" s="90"/>
      <c r="AK175" s="591"/>
      <c r="AL175" s="134"/>
      <c r="AM175" s="134"/>
      <c r="AN175" s="91"/>
      <c r="AO175" s="165"/>
      <c r="AP175" s="158"/>
      <c r="AQ175" s="158"/>
      <c r="AR175" s="158"/>
      <c r="AS175" s="158"/>
      <c r="AT175" s="158"/>
      <c r="AU175" s="165"/>
      <c r="AV175" s="169"/>
      <c r="AW175" s="165"/>
      <c r="AX175" s="165"/>
      <c r="AY175" s="165"/>
      <c r="AZ175" s="165"/>
      <c r="BA175" s="165"/>
      <c r="BB175" s="169"/>
      <c r="BC175" s="169"/>
      <c r="BD175" s="169"/>
      <c r="BE175" s="165"/>
      <c r="BF175" s="201"/>
      <c r="BG175" s="685"/>
      <c r="BK175" s="201"/>
      <c r="BL175" s="201"/>
      <c r="BM175" s="201"/>
      <c r="BN175" s="201"/>
      <c r="BO175" s="201"/>
      <c r="BP175" s="201"/>
      <c r="BQ175" s="201"/>
      <c r="BR175" s="201"/>
      <c r="BS175" s="201"/>
      <c r="BT175" s="181"/>
    </row>
    <row r="176" ht="81" customHeight="1" spans="1:85">
      <c r="A176" s="23">
        <f>SUBTOTAL(3,C$7:C176)</f>
        <v>136</v>
      </c>
      <c r="B176" s="55" t="s">
        <v>763</v>
      </c>
      <c r="C176" s="35" t="s">
        <v>562</v>
      </c>
      <c r="D176" s="55" t="s">
        <v>764</v>
      </c>
      <c r="E176" s="35" t="s">
        <v>575</v>
      </c>
      <c r="F176" s="38">
        <v>94500</v>
      </c>
      <c r="G176" s="38">
        <v>20000</v>
      </c>
      <c r="H176" s="123" t="s">
        <v>765</v>
      </c>
      <c r="I176" s="724">
        <v>1000</v>
      </c>
      <c r="J176" s="724">
        <v>2500</v>
      </c>
      <c r="K176" s="724">
        <v>4200</v>
      </c>
      <c r="L176" s="724">
        <v>5000</v>
      </c>
      <c r="M176" s="724"/>
      <c r="N176" s="50"/>
      <c r="O176" s="67"/>
      <c r="P176" s="90" t="s">
        <v>2520</v>
      </c>
      <c r="Q176" s="90" t="s">
        <v>117</v>
      </c>
      <c r="R176" s="643">
        <v>139</v>
      </c>
      <c r="S176" s="643">
        <v>139</v>
      </c>
      <c r="T176" s="643"/>
      <c r="U176" s="643"/>
      <c r="V176" s="643"/>
      <c r="W176" s="132"/>
      <c r="X176" s="643"/>
      <c r="Y176" s="643"/>
      <c r="Z176" s="132"/>
      <c r="AA176" s="643">
        <v>30</v>
      </c>
      <c r="AB176" s="643"/>
      <c r="AC176" s="643">
        <v>30</v>
      </c>
      <c r="AD176" s="643">
        <v>10000</v>
      </c>
      <c r="AE176" s="643"/>
      <c r="AF176" s="643"/>
      <c r="AG176" s="643"/>
      <c r="AH176" s="643">
        <v>10000</v>
      </c>
      <c r="AI176" s="90"/>
      <c r="AJ176" s="90" t="s">
        <v>117</v>
      </c>
      <c r="AK176" s="249" t="s">
        <v>766</v>
      </c>
      <c r="AL176" s="129" t="s">
        <v>2427</v>
      </c>
      <c r="AM176" s="81" t="s">
        <v>185</v>
      </c>
      <c r="AN176" s="270" t="s">
        <v>767</v>
      </c>
      <c r="AO176" s="157"/>
      <c r="AP176" s="158" t="s">
        <v>2132</v>
      </c>
      <c r="AQ176" s="158" t="s">
        <v>459</v>
      </c>
      <c r="AR176" s="158" t="str">
        <f t="shared" ref="AR176:AR178" si="294">AQ176&amp;AP176</f>
        <v>服务业信息服务</v>
      </c>
      <c r="AS176" s="158" t="s">
        <v>2051</v>
      </c>
      <c r="AT176" s="158"/>
      <c r="AU176" s="157"/>
      <c r="AV176" s="272"/>
      <c r="AW176" s="160"/>
      <c r="AX176" s="157"/>
      <c r="AY176" s="157"/>
      <c r="AZ176" s="157"/>
      <c r="BA176" s="157"/>
      <c r="BB176" s="157"/>
      <c r="BC176" s="157"/>
      <c r="BD176" s="157"/>
      <c r="BE176" s="157"/>
      <c r="BF176" s="157" t="s">
        <v>205</v>
      </c>
      <c r="BG176" s="203" t="s">
        <v>93</v>
      </c>
      <c r="BH176" s="201" t="str">
        <f t="shared" ref="BH176:BH178" si="295">BF176&amp;AM176</f>
        <v>政府中马钦州产业园区管委</v>
      </c>
      <c r="BI176" s="201" t="str">
        <f t="shared" ref="BI176:BI178" si="296">BG176&amp;AM176</f>
        <v>产业中马钦州产业园区管委</v>
      </c>
      <c r="BJ176" s="204">
        <f t="shared" ref="BJ176:BJ178" si="297">IF(N176&gt;0,1,0)</f>
        <v>0</v>
      </c>
      <c r="BK176" s="157" t="str">
        <f t="shared" ref="BK176:BK178" si="298">IF(L176&lt;1000,"",AR176&amp;"1000")</f>
        <v>服务业信息服务1000</v>
      </c>
      <c r="BL176" s="157" t="str">
        <f t="shared" ref="BL176:BL178" si="299">IF(L176&lt;2000,"",AR176&amp;"2000")</f>
        <v>服务业信息服务2000</v>
      </c>
      <c r="BM176" s="157" t="str">
        <f t="shared" ref="BM176:BM178" si="300">IF(L176&lt;5000,"",AR176&amp;"5000")</f>
        <v>服务业信息服务5000</v>
      </c>
      <c r="BN176" s="157"/>
      <c r="BO176" s="157">
        <f t="shared" ref="BO176:BO178" si="301">IF(R176&gt;0,1,0)</f>
        <v>1</v>
      </c>
      <c r="BP176" s="157">
        <f t="shared" ref="BP176:BP178" si="302">IF(X176&gt;0,1,0)</f>
        <v>0</v>
      </c>
      <c r="BQ176" s="157">
        <f t="shared" ref="BQ176:BQ178" si="303">IF(U176&gt;0,1,0)</f>
        <v>0</v>
      </c>
      <c r="BR176" s="157">
        <f t="shared" ref="BR176:BR178" si="304">IF(AA176&gt;0,1,0)</f>
        <v>1</v>
      </c>
      <c r="BS176" s="157">
        <f t="shared" ref="BS176:BS178" si="305">IF(AD176&gt;0,1,0)</f>
        <v>1</v>
      </c>
      <c r="BT176" s="181"/>
      <c r="BU176" s="206"/>
      <c r="BX176" s="224"/>
      <c r="CB176" s="4"/>
      <c r="CC176" s="4"/>
      <c r="CD176" s="4"/>
      <c r="CE176" s="4"/>
      <c r="CF176" s="4"/>
      <c r="CG176" s="4"/>
    </row>
    <row r="177" s="9" customFormat="1" ht="90" customHeight="1" spans="1:79">
      <c r="A177" s="23">
        <f>SUBTOTAL(3,C$7:C177)</f>
        <v>137</v>
      </c>
      <c r="B177" s="54" t="s">
        <v>768</v>
      </c>
      <c r="C177" s="67" t="s">
        <v>562</v>
      </c>
      <c r="D177" s="54" t="s">
        <v>769</v>
      </c>
      <c r="E177" s="67" t="s">
        <v>575</v>
      </c>
      <c r="F177" s="67">
        <v>40000</v>
      </c>
      <c r="G177" s="67">
        <v>35000</v>
      </c>
      <c r="H177" s="123" t="s">
        <v>770</v>
      </c>
      <c r="I177" s="67">
        <v>700</v>
      </c>
      <c r="J177" s="67">
        <v>1700</v>
      </c>
      <c r="K177" s="67">
        <v>2700</v>
      </c>
      <c r="L177" s="67">
        <v>3700</v>
      </c>
      <c r="M177" s="67"/>
      <c r="N177" s="50"/>
      <c r="O177" s="67"/>
      <c r="P177" s="54" t="s">
        <v>2521</v>
      </c>
      <c r="Q177" s="54" t="s">
        <v>2522</v>
      </c>
      <c r="R177" s="134"/>
      <c r="S177" s="134"/>
      <c r="T177" s="134"/>
      <c r="U177" s="134"/>
      <c r="V177" s="134"/>
      <c r="W177" s="134"/>
      <c r="X177" s="134"/>
      <c r="Y177" s="134"/>
      <c r="Z177" s="134"/>
      <c r="AA177" s="134"/>
      <c r="AB177" s="134"/>
      <c r="AC177" s="134"/>
      <c r="AD177" s="134">
        <v>1500</v>
      </c>
      <c r="AE177" s="134"/>
      <c r="AF177" s="134">
        <v>180</v>
      </c>
      <c r="AG177" s="134"/>
      <c r="AH177" s="134">
        <v>1320</v>
      </c>
      <c r="AI177" s="90"/>
      <c r="AJ177" s="90" t="s">
        <v>771</v>
      </c>
      <c r="AK177" s="123" t="s">
        <v>772</v>
      </c>
      <c r="AL177" s="67" t="s">
        <v>2523</v>
      </c>
      <c r="AM177" s="67" t="s">
        <v>240</v>
      </c>
      <c r="AN177" s="91"/>
      <c r="AO177" s="157"/>
      <c r="AP177" s="158" t="s">
        <v>2132</v>
      </c>
      <c r="AQ177" s="158" t="s">
        <v>459</v>
      </c>
      <c r="AR177" s="158" t="str">
        <f t="shared" si="294"/>
        <v>服务业信息服务</v>
      </c>
      <c r="AS177" s="158" t="s">
        <v>2051</v>
      </c>
      <c r="AT177" s="158"/>
      <c r="AU177" s="161"/>
      <c r="AV177" s="161"/>
      <c r="AW177" s="160"/>
      <c r="AX177" s="157"/>
      <c r="AY177" s="157"/>
      <c r="AZ177" s="157"/>
      <c r="BA177" s="157"/>
      <c r="BB177" s="157"/>
      <c r="BC177" s="157"/>
      <c r="BD177" s="157"/>
      <c r="BE177" s="157"/>
      <c r="BF177" s="157" t="s">
        <v>205</v>
      </c>
      <c r="BG177" s="203" t="s">
        <v>93</v>
      </c>
      <c r="BH177" s="201" t="str">
        <f t="shared" si="295"/>
        <v>政府钦州高新区管委</v>
      </c>
      <c r="BI177" s="201" t="str">
        <f t="shared" si="296"/>
        <v>产业钦州高新区管委</v>
      </c>
      <c r="BJ177" s="204">
        <f t="shared" si="297"/>
        <v>0</v>
      </c>
      <c r="BK177" s="157" t="str">
        <f t="shared" si="298"/>
        <v>服务业信息服务1000</v>
      </c>
      <c r="BL177" s="157" t="str">
        <f t="shared" si="299"/>
        <v>服务业信息服务2000</v>
      </c>
      <c r="BM177" s="157" t="str">
        <f t="shared" si="300"/>
        <v/>
      </c>
      <c r="BN177" s="157"/>
      <c r="BO177" s="157">
        <f t="shared" si="301"/>
        <v>0</v>
      </c>
      <c r="BP177" s="157">
        <f t="shared" si="302"/>
        <v>0</v>
      </c>
      <c r="BQ177" s="157">
        <f t="shared" si="303"/>
        <v>0</v>
      </c>
      <c r="BR177" s="157">
        <f t="shared" si="304"/>
        <v>0</v>
      </c>
      <c r="BS177" s="157">
        <f t="shared" si="305"/>
        <v>1</v>
      </c>
      <c r="BT177" s="181"/>
      <c r="BU177" s="206"/>
      <c r="BW177" s="206"/>
      <c r="BX177" s="224"/>
      <c r="BY177" s="206"/>
      <c r="BZ177" s="206"/>
      <c r="CA177" s="206"/>
    </row>
    <row r="178" s="660" customFormat="1" ht="95.25" customHeight="1" spans="1:79">
      <c r="A178" s="23">
        <f>SUBTOTAL(3,C$7:C178)</f>
        <v>138</v>
      </c>
      <c r="B178" s="717" t="s">
        <v>744</v>
      </c>
      <c r="C178" s="67" t="s">
        <v>562</v>
      </c>
      <c r="D178" s="718" t="s">
        <v>745</v>
      </c>
      <c r="E178" s="35" t="s">
        <v>575</v>
      </c>
      <c r="F178" s="127">
        <v>32500</v>
      </c>
      <c r="G178" s="127">
        <v>5000</v>
      </c>
      <c r="H178" s="719" t="s">
        <v>746</v>
      </c>
      <c r="I178" s="727">
        <v>1000</v>
      </c>
      <c r="J178" s="727">
        <v>2500</v>
      </c>
      <c r="K178" s="727">
        <v>5000</v>
      </c>
      <c r="L178" s="127">
        <v>10000</v>
      </c>
      <c r="M178" s="127"/>
      <c r="N178" s="56"/>
      <c r="O178" s="127"/>
      <c r="P178" s="718" t="s">
        <v>2524</v>
      </c>
      <c r="Q178" s="90" t="s">
        <v>117</v>
      </c>
      <c r="R178" s="132"/>
      <c r="S178" s="132"/>
      <c r="T178" s="132"/>
      <c r="U178" s="132"/>
      <c r="V178" s="132"/>
      <c r="W178" s="132"/>
      <c r="X178" s="132"/>
      <c r="Y178" s="132"/>
      <c r="Z178" s="132"/>
      <c r="AA178" s="132"/>
      <c r="AB178" s="132"/>
      <c r="AC178" s="132"/>
      <c r="AD178" s="132"/>
      <c r="AE178" s="132"/>
      <c r="AF178" s="132"/>
      <c r="AG178" s="132"/>
      <c r="AH178" s="132"/>
      <c r="AI178" s="90"/>
      <c r="AJ178" s="90" t="s">
        <v>2525</v>
      </c>
      <c r="AK178" s="34" t="s">
        <v>748</v>
      </c>
      <c r="AL178" s="35" t="s">
        <v>2526</v>
      </c>
      <c r="AM178" s="81" t="s">
        <v>749</v>
      </c>
      <c r="AN178" s="91"/>
      <c r="AO178" s="35"/>
      <c r="AP178" s="158" t="s">
        <v>2132</v>
      </c>
      <c r="AQ178" s="92" t="s">
        <v>459</v>
      </c>
      <c r="AR178" s="92" t="str">
        <f t="shared" si="294"/>
        <v>服务业信息服务</v>
      </c>
      <c r="AS178" s="158" t="s">
        <v>2051</v>
      </c>
      <c r="AT178" s="92"/>
      <c r="AU178" s="37"/>
      <c r="AV178" s="37"/>
      <c r="AW178" s="67"/>
      <c r="AX178" s="35"/>
      <c r="AY178" s="35"/>
      <c r="AZ178" s="35"/>
      <c r="BA178" s="35"/>
      <c r="BB178" s="35"/>
      <c r="BC178" s="35"/>
      <c r="BD178" s="35"/>
      <c r="BE178" s="35"/>
      <c r="BF178" s="35" t="s">
        <v>205</v>
      </c>
      <c r="BG178" s="203" t="s">
        <v>93</v>
      </c>
      <c r="BH178" s="179" t="str">
        <f t="shared" si="295"/>
        <v>政府市卫生健康委</v>
      </c>
      <c r="BI178" s="179" t="str">
        <f t="shared" si="296"/>
        <v>产业市卫生健康委</v>
      </c>
      <c r="BJ178" s="197">
        <f t="shared" si="297"/>
        <v>0</v>
      </c>
      <c r="BK178" s="35" t="str">
        <f t="shared" si="298"/>
        <v>服务业信息服务1000</v>
      </c>
      <c r="BL178" s="35" t="str">
        <f t="shared" si="299"/>
        <v>服务业信息服务2000</v>
      </c>
      <c r="BM178" s="35" t="str">
        <f t="shared" si="300"/>
        <v>服务业信息服务5000</v>
      </c>
      <c r="BN178" s="35"/>
      <c r="BO178" s="157">
        <f t="shared" si="301"/>
        <v>0</v>
      </c>
      <c r="BP178" s="157">
        <f t="shared" si="302"/>
        <v>0</v>
      </c>
      <c r="BQ178" s="157">
        <f t="shared" si="303"/>
        <v>0</v>
      </c>
      <c r="BR178" s="157">
        <f t="shared" si="304"/>
        <v>0</v>
      </c>
      <c r="BS178" s="157">
        <f t="shared" si="305"/>
        <v>0</v>
      </c>
      <c r="BT178" s="59"/>
      <c r="BU178" s="217"/>
      <c r="BW178" s="217"/>
      <c r="BX178" s="738"/>
      <c r="BY178" s="217"/>
      <c r="BZ178" s="217"/>
      <c r="CA178" s="217"/>
    </row>
    <row r="179" s="9" customFormat="1" ht="30" customHeight="1" spans="1:72">
      <c r="A179" s="551" t="s">
        <v>2136</v>
      </c>
      <c r="B179" s="557" t="str">
        <f>"社会事业（"&amp;SUBTOTAL(3,C181:C198)&amp;"个）"</f>
        <v>社会事业（15个）</v>
      </c>
      <c r="C179" s="557"/>
      <c r="D179" s="557"/>
      <c r="E179" s="551"/>
      <c r="F179" s="134">
        <f t="shared" ref="F179:M179" si="306">F180+F193+F195+F197</f>
        <v>283757.4</v>
      </c>
      <c r="G179" s="134">
        <f t="shared" si="306"/>
        <v>64699</v>
      </c>
      <c r="H179" s="134"/>
      <c r="I179" s="134">
        <f t="shared" si="306"/>
        <v>15450</v>
      </c>
      <c r="J179" s="134">
        <f t="shared" si="306"/>
        <v>32500</v>
      </c>
      <c r="K179" s="134">
        <f t="shared" si="306"/>
        <v>50950</v>
      </c>
      <c r="L179" s="134">
        <f t="shared" si="306"/>
        <v>70500</v>
      </c>
      <c r="M179" s="134">
        <f t="shared" si="306"/>
        <v>0</v>
      </c>
      <c r="N179" s="67"/>
      <c r="O179" s="67"/>
      <c r="P179" s="674"/>
      <c r="Q179" s="90"/>
      <c r="R179" s="134"/>
      <c r="S179" s="134"/>
      <c r="T179" s="134"/>
      <c r="U179" s="134"/>
      <c r="V179" s="134"/>
      <c r="W179" s="134"/>
      <c r="X179" s="134"/>
      <c r="Y179" s="134"/>
      <c r="Z179" s="134"/>
      <c r="AA179" s="134"/>
      <c r="AB179" s="134"/>
      <c r="AC179" s="134"/>
      <c r="AD179" s="134"/>
      <c r="AE179" s="134"/>
      <c r="AF179" s="134"/>
      <c r="AG179" s="134"/>
      <c r="AH179" s="134"/>
      <c r="AI179" s="90"/>
      <c r="AJ179" s="90"/>
      <c r="AK179" s="591"/>
      <c r="AL179" s="134"/>
      <c r="AM179" s="134"/>
      <c r="AN179" s="91"/>
      <c r="AO179" s="165"/>
      <c r="AP179" s="158"/>
      <c r="AQ179" s="158"/>
      <c r="AR179" s="158"/>
      <c r="AS179" s="158"/>
      <c r="AT179" s="158"/>
      <c r="AU179" s="165"/>
      <c r="AV179" s="169"/>
      <c r="AW179" s="165"/>
      <c r="AX179" s="165"/>
      <c r="AY179" s="165"/>
      <c r="AZ179" s="165"/>
      <c r="BA179" s="165"/>
      <c r="BB179" s="169"/>
      <c r="BC179" s="169"/>
      <c r="BD179" s="169"/>
      <c r="BE179" s="165"/>
      <c r="BF179" s="201"/>
      <c r="BG179" s="685"/>
      <c r="BK179" s="201"/>
      <c r="BL179" s="201"/>
      <c r="BM179" s="201"/>
      <c r="BN179" s="201"/>
      <c r="BO179" s="201"/>
      <c r="BP179" s="201"/>
      <c r="BQ179" s="201"/>
      <c r="BR179" s="201"/>
      <c r="BS179" s="201"/>
      <c r="BT179" s="7"/>
    </row>
    <row r="180" s="9" customFormat="1" ht="30" customHeight="1" spans="1:72">
      <c r="A180" s="551"/>
      <c r="B180" s="557" t="str">
        <f>"教育（"&amp;SUBTOTAL(3,C181:C192)&amp;"个）"</f>
        <v>教育（12个）</v>
      </c>
      <c r="C180" s="551"/>
      <c r="D180" s="55"/>
      <c r="E180" s="551"/>
      <c r="F180" s="134">
        <f t="shared" ref="F180:M180" si="307">SUBTOTAL(9,F181:F192)</f>
        <v>241385.4</v>
      </c>
      <c r="G180" s="134">
        <f t="shared" si="307"/>
        <v>46447</v>
      </c>
      <c r="H180" s="134"/>
      <c r="I180" s="134">
        <f t="shared" si="307"/>
        <v>12650</v>
      </c>
      <c r="J180" s="134">
        <f t="shared" si="307"/>
        <v>26500</v>
      </c>
      <c r="K180" s="134">
        <f t="shared" si="307"/>
        <v>41500</v>
      </c>
      <c r="L180" s="134">
        <f t="shared" si="307"/>
        <v>58500</v>
      </c>
      <c r="M180" s="134">
        <f t="shared" si="307"/>
        <v>0</v>
      </c>
      <c r="N180" s="134"/>
      <c r="O180" s="134"/>
      <c r="P180" s="90"/>
      <c r="Q180" s="90"/>
      <c r="R180" s="132"/>
      <c r="S180" s="132"/>
      <c r="T180" s="132"/>
      <c r="U180" s="132"/>
      <c r="V180" s="132"/>
      <c r="W180" s="132"/>
      <c r="X180" s="132"/>
      <c r="Y180" s="132"/>
      <c r="Z180" s="132"/>
      <c r="AA180" s="132"/>
      <c r="AB180" s="132"/>
      <c r="AC180" s="132"/>
      <c r="AD180" s="132"/>
      <c r="AE180" s="132"/>
      <c r="AF180" s="132"/>
      <c r="AG180" s="132"/>
      <c r="AH180" s="132"/>
      <c r="AI180" s="90"/>
      <c r="AJ180" s="90"/>
      <c r="AK180" s="591"/>
      <c r="AL180" s="134"/>
      <c r="AM180" s="134"/>
      <c r="AN180" s="91"/>
      <c r="AO180" s="165"/>
      <c r="AP180" s="158"/>
      <c r="AQ180" s="158"/>
      <c r="AR180" s="158"/>
      <c r="AS180" s="158"/>
      <c r="AT180" s="158"/>
      <c r="AU180" s="165"/>
      <c r="AV180" s="169"/>
      <c r="AW180" s="165"/>
      <c r="AX180" s="165"/>
      <c r="AY180" s="165"/>
      <c r="AZ180" s="165"/>
      <c r="BA180" s="165"/>
      <c r="BB180" s="169"/>
      <c r="BC180" s="169"/>
      <c r="BD180" s="169"/>
      <c r="BE180" s="165"/>
      <c r="BF180" s="201"/>
      <c r="BG180" s="685"/>
      <c r="BK180" s="201"/>
      <c r="BL180" s="201"/>
      <c r="BM180" s="201"/>
      <c r="BN180" s="201"/>
      <c r="BO180" s="201"/>
      <c r="BP180" s="201"/>
      <c r="BQ180" s="201"/>
      <c r="BR180" s="201"/>
      <c r="BS180" s="201"/>
      <c r="BT180" s="181"/>
    </row>
    <row r="181" ht="100.5" customHeight="1" spans="1:85">
      <c r="A181" s="23">
        <f>SUBTOTAL(3,C$7:C181)</f>
        <v>139</v>
      </c>
      <c r="B181" s="55" t="s">
        <v>1838</v>
      </c>
      <c r="C181" s="35" t="s">
        <v>562</v>
      </c>
      <c r="D181" s="55" t="s">
        <v>1839</v>
      </c>
      <c r="E181" s="35" t="s">
        <v>575</v>
      </c>
      <c r="F181" s="38">
        <v>38100</v>
      </c>
      <c r="G181" s="38">
        <v>6500</v>
      </c>
      <c r="H181" s="123" t="s">
        <v>1840</v>
      </c>
      <c r="I181" s="67">
        <v>2500</v>
      </c>
      <c r="J181" s="67">
        <v>5500</v>
      </c>
      <c r="K181" s="67">
        <v>10000</v>
      </c>
      <c r="L181" s="38">
        <v>13000</v>
      </c>
      <c r="M181" s="38"/>
      <c r="N181" s="67"/>
      <c r="O181" s="707"/>
      <c r="P181" s="90" t="s">
        <v>2527</v>
      </c>
      <c r="Q181" s="90" t="s">
        <v>2528</v>
      </c>
      <c r="R181" s="132">
        <v>250.02</v>
      </c>
      <c r="S181" s="132">
        <v>136</v>
      </c>
      <c r="T181" s="132">
        <v>114</v>
      </c>
      <c r="U181" s="132"/>
      <c r="V181" s="132"/>
      <c r="W181" s="132"/>
      <c r="X181" s="132"/>
      <c r="Y181" s="132"/>
      <c r="Z181" s="132"/>
      <c r="AA181" s="132">
        <v>8</v>
      </c>
      <c r="AB181" s="132"/>
      <c r="AC181" s="132">
        <v>8</v>
      </c>
      <c r="AD181" s="132">
        <v>13000</v>
      </c>
      <c r="AE181" s="132"/>
      <c r="AF181" s="132">
        <v>4000</v>
      </c>
      <c r="AG181" s="132"/>
      <c r="AH181" s="132">
        <v>9000</v>
      </c>
      <c r="AI181" s="90"/>
      <c r="AJ181" s="90" t="s">
        <v>1841</v>
      </c>
      <c r="AK181" s="34" t="s">
        <v>1842</v>
      </c>
      <c r="AL181" s="35" t="s">
        <v>2529</v>
      </c>
      <c r="AM181" s="35" t="s">
        <v>1843</v>
      </c>
      <c r="AN181" s="34"/>
      <c r="AO181" s="157"/>
      <c r="AP181" s="158" t="s">
        <v>2138</v>
      </c>
      <c r="AQ181" s="158" t="s">
        <v>2139</v>
      </c>
      <c r="AR181" s="158" t="str">
        <f t="shared" ref="AR181:AR183" si="308">AQ181&amp;AP181</f>
        <v>社会事业教育</v>
      </c>
      <c r="AS181" s="158" t="str">
        <f>AP181</f>
        <v>教育</v>
      </c>
      <c r="AT181" s="158"/>
      <c r="AU181" s="157"/>
      <c r="AV181" s="159"/>
      <c r="AW181" s="160"/>
      <c r="AX181" s="157"/>
      <c r="AY181" s="157"/>
      <c r="AZ181" s="157"/>
      <c r="BA181" s="157"/>
      <c r="BB181" s="157"/>
      <c r="BC181" s="157"/>
      <c r="BD181" s="157"/>
      <c r="BE181" s="157"/>
      <c r="BF181" s="201" t="s">
        <v>92</v>
      </c>
      <c r="BG181" s="203" t="s">
        <v>2140</v>
      </c>
      <c r="BH181" s="201" t="str">
        <f t="shared" ref="BH181:BH183" si="309">BF181&amp;AM181</f>
        <v>企业市教育局、市滨海新城管委</v>
      </c>
      <c r="BI181" s="201" t="str">
        <f t="shared" ref="BI181:BI183" si="310">BG181&amp;AM181</f>
        <v>民生设施市教育局、市滨海新城管委</v>
      </c>
      <c r="BJ181" s="204">
        <f>IF(N181&gt;0,1,0)</f>
        <v>0</v>
      </c>
      <c r="BK181" s="157" t="str">
        <f>IF(L181&lt;1000,"",AR181&amp;"1000")</f>
        <v>社会事业教育1000</v>
      </c>
      <c r="BL181" s="157" t="str">
        <f>IF(L181&lt;2000,"",AR181&amp;"2000")</f>
        <v>社会事业教育2000</v>
      </c>
      <c r="BM181" s="157" t="str">
        <f>IF(L181&lt;5000,"",AR181&amp;"5000")</f>
        <v>社会事业教育5000</v>
      </c>
      <c r="BN181" s="157"/>
      <c r="BO181" s="157">
        <f t="shared" ref="BO181:BO192" si="311">IF(R181&gt;0,1,0)</f>
        <v>1</v>
      </c>
      <c r="BP181" s="157">
        <f t="shared" ref="BP181:BP192" si="312">IF(X181&gt;0,1,0)</f>
        <v>0</v>
      </c>
      <c r="BQ181" s="157">
        <f t="shared" ref="BQ181:BQ192" si="313">IF(U181&gt;0,1,0)</f>
        <v>0</v>
      </c>
      <c r="BR181" s="157">
        <f t="shared" ref="BR181:BR192" si="314">IF(AA181&gt;0,1,0)</f>
        <v>1</v>
      </c>
      <c r="BS181" s="157">
        <f t="shared" ref="BS181:BS192" si="315">IF(AD181&gt;0,1,0)</f>
        <v>1</v>
      </c>
      <c r="BT181" s="181"/>
      <c r="BU181" s="206"/>
      <c r="BW181" s="204"/>
      <c r="BX181" s="227"/>
      <c r="BY181" s="204"/>
      <c r="BZ181" s="204"/>
      <c r="CA181" s="204"/>
      <c r="CB181" s="4"/>
      <c r="CC181" s="4"/>
      <c r="CD181" s="4"/>
      <c r="CE181" s="4"/>
      <c r="CF181" s="4"/>
      <c r="CG181" s="4"/>
    </row>
    <row r="182" ht="51.75" customHeight="1" spans="1:85">
      <c r="A182" s="23">
        <f>SUBTOTAL(3,C$7:C182)</f>
        <v>140</v>
      </c>
      <c r="B182" s="55" t="s">
        <v>1711</v>
      </c>
      <c r="C182" s="35" t="s">
        <v>562</v>
      </c>
      <c r="D182" s="55" t="s">
        <v>1712</v>
      </c>
      <c r="E182" s="35" t="s">
        <v>575</v>
      </c>
      <c r="F182" s="38">
        <v>28382</v>
      </c>
      <c r="G182" s="38">
        <v>4000</v>
      </c>
      <c r="H182" s="123" t="s">
        <v>1713</v>
      </c>
      <c r="I182" s="136">
        <v>2000</v>
      </c>
      <c r="J182" s="136">
        <v>4000</v>
      </c>
      <c r="K182" s="136">
        <v>6000</v>
      </c>
      <c r="L182" s="38">
        <v>9000</v>
      </c>
      <c r="M182" s="38"/>
      <c r="N182" s="111"/>
      <c r="O182" s="67"/>
      <c r="P182" s="90" t="s">
        <v>2530</v>
      </c>
      <c r="Q182" s="90" t="s">
        <v>2531</v>
      </c>
      <c r="R182" s="132">
        <v>8.1</v>
      </c>
      <c r="S182" s="132">
        <v>8.1</v>
      </c>
      <c r="T182" s="132"/>
      <c r="U182" s="132"/>
      <c r="V182" s="132"/>
      <c r="W182" s="132"/>
      <c r="X182" s="132"/>
      <c r="Y182" s="132"/>
      <c r="Z182" s="132"/>
      <c r="AA182" s="132"/>
      <c r="AB182" s="132"/>
      <c r="AC182" s="132"/>
      <c r="AD182" s="132">
        <v>9000</v>
      </c>
      <c r="AE182" s="132"/>
      <c r="AF182" s="132">
        <v>9000</v>
      </c>
      <c r="AG182" s="132"/>
      <c r="AH182" s="132"/>
      <c r="AI182" s="90"/>
      <c r="AJ182" s="90" t="s">
        <v>2532</v>
      </c>
      <c r="AK182" s="34" t="s">
        <v>1715</v>
      </c>
      <c r="AL182" s="35" t="s">
        <v>2533</v>
      </c>
      <c r="AM182" s="35" t="s">
        <v>498</v>
      </c>
      <c r="AN182" s="34"/>
      <c r="AO182" s="157"/>
      <c r="AP182" s="158" t="s">
        <v>2138</v>
      </c>
      <c r="AQ182" s="158" t="s">
        <v>2139</v>
      </c>
      <c r="AR182" s="158" t="str">
        <f t="shared" si="308"/>
        <v>社会事业教育</v>
      </c>
      <c r="AS182" s="158" t="str">
        <f t="shared" ref="AS182:AS192" si="316">AP182</f>
        <v>教育</v>
      </c>
      <c r="AT182" s="158"/>
      <c r="AU182" s="157"/>
      <c r="AV182" s="272"/>
      <c r="AW182" s="160"/>
      <c r="AX182" s="157"/>
      <c r="AY182" s="157"/>
      <c r="AZ182" s="157"/>
      <c r="BA182" s="157"/>
      <c r="BB182" s="157"/>
      <c r="BC182" s="157"/>
      <c r="BD182" s="157"/>
      <c r="BE182" s="157"/>
      <c r="BF182" s="201" t="s">
        <v>205</v>
      </c>
      <c r="BG182" s="203" t="s">
        <v>2140</v>
      </c>
      <c r="BH182" s="201" t="str">
        <f t="shared" si="309"/>
        <v>政府市滨海新城管委</v>
      </c>
      <c r="BI182" s="201" t="str">
        <f t="shared" si="310"/>
        <v>民生设施市滨海新城管委</v>
      </c>
      <c r="BJ182" s="204">
        <f>IF(N182&gt;0,1,0)</f>
        <v>0</v>
      </c>
      <c r="BK182" s="157" t="str">
        <f>IF(L182&lt;1000,"",AR182&amp;"1000")</f>
        <v>社会事业教育1000</v>
      </c>
      <c r="BL182" s="157" t="str">
        <f>IF(L182&lt;2000,"",AR182&amp;"2000")</f>
        <v>社会事业教育2000</v>
      </c>
      <c r="BM182" s="157" t="str">
        <f>IF(L182&lt;5000,"",AR182&amp;"5000")</f>
        <v>社会事业教育5000</v>
      </c>
      <c r="BN182" s="157"/>
      <c r="BO182" s="157">
        <f t="shared" si="311"/>
        <v>1</v>
      </c>
      <c r="BP182" s="157">
        <f t="shared" si="312"/>
        <v>0</v>
      </c>
      <c r="BQ182" s="157">
        <f t="shared" si="313"/>
        <v>0</v>
      </c>
      <c r="BR182" s="157">
        <f t="shared" si="314"/>
        <v>0</v>
      </c>
      <c r="BS182" s="157">
        <f t="shared" si="315"/>
        <v>1</v>
      </c>
      <c r="BT182" s="181"/>
      <c r="BU182" s="206"/>
      <c r="BW182" s="7"/>
      <c r="BX182" s="7"/>
      <c r="BY182" s="7"/>
      <c r="BZ182" s="7"/>
      <c r="CA182" s="7"/>
      <c r="CB182" s="4"/>
      <c r="CC182" s="4"/>
      <c r="CD182" s="4"/>
      <c r="CE182" s="4"/>
      <c r="CF182" s="4"/>
      <c r="CG182" s="4"/>
    </row>
    <row r="183" ht="65.25" customHeight="1" spans="1:85">
      <c r="A183" s="23">
        <f>SUBTOTAL(3,C$7:C183)</f>
        <v>141</v>
      </c>
      <c r="B183" s="55" t="s">
        <v>1844</v>
      </c>
      <c r="C183" s="35" t="s">
        <v>562</v>
      </c>
      <c r="D183" s="55" t="s">
        <v>1845</v>
      </c>
      <c r="E183" s="35" t="s">
        <v>564</v>
      </c>
      <c r="F183" s="38">
        <v>18000</v>
      </c>
      <c r="G183" s="38">
        <v>10530</v>
      </c>
      <c r="H183" s="720" t="s">
        <v>1174</v>
      </c>
      <c r="I183" s="136">
        <v>100</v>
      </c>
      <c r="J183" s="136">
        <v>1500</v>
      </c>
      <c r="K183" s="136">
        <v>2000</v>
      </c>
      <c r="L183" s="38">
        <v>2000</v>
      </c>
      <c r="M183" s="38"/>
      <c r="N183" s="36"/>
      <c r="O183" s="36"/>
      <c r="P183" s="90" t="s">
        <v>2534</v>
      </c>
      <c r="Q183" s="137" t="s">
        <v>2535</v>
      </c>
      <c r="R183" s="115">
        <v>117</v>
      </c>
      <c r="S183" s="115">
        <v>117</v>
      </c>
      <c r="T183" s="115"/>
      <c r="U183" s="115"/>
      <c r="V183" s="115"/>
      <c r="W183" s="115"/>
      <c r="X183" s="115"/>
      <c r="Y183" s="115"/>
      <c r="Z183" s="115"/>
      <c r="AA183" s="115"/>
      <c r="AB183" s="115"/>
      <c r="AC183" s="115"/>
      <c r="AD183" s="115">
        <v>2000</v>
      </c>
      <c r="AE183" s="115"/>
      <c r="AF183" s="115"/>
      <c r="AG183" s="115"/>
      <c r="AH183" s="115">
        <v>2000</v>
      </c>
      <c r="AI183" s="90"/>
      <c r="AJ183" s="90" t="s">
        <v>1254</v>
      </c>
      <c r="AK183" s="34" t="s">
        <v>1846</v>
      </c>
      <c r="AL183" s="35" t="s">
        <v>2536</v>
      </c>
      <c r="AM183" s="35" t="s">
        <v>498</v>
      </c>
      <c r="AN183" s="91"/>
      <c r="AO183" s="157"/>
      <c r="AP183" s="158" t="s">
        <v>2138</v>
      </c>
      <c r="AQ183" s="158" t="s">
        <v>2139</v>
      </c>
      <c r="AR183" s="158" t="str">
        <f t="shared" si="308"/>
        <v>社会事业教育</v>
      </c>
      <c r="AS183" s="158" t="str">
        <f t="shared" si="316"/>
        <v>教育</v>
      </c>
      <c r="AT183" s="158"/>
      <c r="AU183" s="161"/>
      <c r="AV183" s="161"/>
      <c r="AW183" s="160"/>
      <c r="AX183" s="157"/>
      <c r="AY183" s="157"/>
      <c r="AZ183" s="157"/>
      <c r="BA183" s="157"/>
      <c r="BB183" s="157"/>
      <c r="BC183" s="157"/>
      <c r="BD183" s="157"/>
      <c r="BE183" s="157"/>
      <c r="BF183" s="201" t="s">
        <v>92</v>
      </c>
      <c r="BG183" s="203" t="s">
        <v>2140</v>
      </c>
      <c r="BH183" s="201" t="str">
        <f t="shared" si="309"/>
        <v>企业市滨海新城管委</v>
      </c>
      <c r="BI183" s="201" t="str">
        <f t="shared" si="310"/>
        <v>民生设施市滨海新城管委</v>
      </c>
      <c r="BK183" s="157"/>
      <c r="BL183" s="157"/>
      <c r="BM183" s="157"/>
      <c r="BN183" s="157"/>
      <c r="BO183" s="157">
        <f t="shared" si="311"/>
        <v>1</v>
      </c>
      <c r="BP183" s="157">
        <f t="shared" si="312"/>
        <v>0</v>
      </c>
      <c r="BQ183" s="157">
        <f t="shared" si="313"/>
        <v>0</v>
      </c>
      <c r="BR183" s="157">
        <f t="shared" si="314"/>
        <v>0</v>
      </c>
      <c r="BS183" s="157">
        <f t="shared" si="315"/>
        <v>1</v>
      </c>
      <c r="BT183" s="181"/>
      <c r="BU183" s="206"/>
      <c r="BW183" s="7"/>
      <c r="BX183" s="7"/>
      <c r="BY183" s="7"/>
      <c r="BZ183" s="7"/>
      <c r="CA183" s="7"/>
      <c r="CB183" s="4"/>
      <c r="CC183" s="4"/>
      <c r="CD183" s="4"/>
      <c r="CE183" s="4"/>
      <c r="CF183" s="4"/>
      <c r="CG183" s="4"/>
    </row>
    <row r="184" ht="65.25" customHeight="1" spans="1:85">
      <c r="A184" s="23">
        <f>SUBTOTAL(3,C$7:C184)</f>
        <v>142</v>
      </c>
      <c r="B184" s="88" t="s">
        <v>1760</v>
      </c>
      <c r="C184" s="76" t="s">
        <v>562</v>
      </c>
      <c r="D184" s="696" t="s">
        <v>1761</v>
      </c>
      <c r="E184" s="35" t="s">
        <v>627</v>
      </c>
      <c r="F184" s="721">
        <v>4801.8</v>
      </c>
      <c r="G184" s="722">
        <v>2080</v>
      </c>
      <c r="H184" s="66" t="s">
        <v>1762</v>
      </c>
      <c r="I184" s="23">
        <v>100</v>
      </c>
      <c r="J184" s="23">
        <v>200</v>
      </c>
      <c r="K184" s="23">
        <v>400</v>
      </c>
      <c r="L184" s="23">
        <v>500</v>
      </c>
      <c r="M184" s="23"/>
      <c r="N184" s="36"/>
      <c r="O184" s="36"/>
      <c r="P184" s="90" t="s">
        <v>2534</v>
      </c>
      <c r="Q184" s="90" t="s">
        <v>2537</v>
      </c>
      <c r="R184" s="115">
        <v>117</v>
      </c>
      <c r="S184" s="115">
        <v>117</v>
      </c>
      <c r="T184" s="115"/>
      <c r="U184" s="115"/>
      <c r="V184" s="115"/>
      <c r="W184" s="115"/>
      <c r="X184" s="115"/>
      <c r="Y184" s="115"/>
      <c r="Z184" s="115"/>
      <c r="AA184" s="115"/>
      <c r="AB184" s="115"/>
      <c r="AC184" s="115"/>
      <c r="AD184" s="115">
        <v>2000</v>
      </c>
      <c r="AE184" s="115"/>
      <c r="AF184" s="115"/>
      <c r="AG184" s="115"/>
      <c r="AH184" s="115">
        <v>2000</v>
      </c>
      <c r="AI184" s="90"/>
      <c r="AJ184" s="90" t="s">
        <v>1763</v>
      </c>
      <c r="AK184" s="34" t="s">
        <v>1040</v>
      </c>
      <c r="AL184" s="35" t="s">
        <v>2027</v>
      </c>
      <c r="AM184" s="35" t="s">
        <v>498</v>
      </c>
      <c r="AN184" s="91"/>
      <c r="AO184" s="157"/>
      <c r="AP184" s="158" t="s">
        <v>2138</v>
      </c>
      <c r="AQ184" s="158" t="s">
        <v>2139</v>
      </c>
      <c r="AR184" s="158" t="str">
        <f t="shared" ref="AR184:AR192" si="317">AQ184&amp;AP184</f>
        <v>社会事业教育</v>
      </c>
      <c r="AS184" s="158" t="str">
        <f t="shared" si="316"/>
        <v>教育</v>
      </c>
      <c r="AT184" s="158"/>
      <c r="AU184" s="161"/>
      <c r="AV184" s="161"/>
      <c r="AW184" s="160"/>
      <c r="AX184" s="157"/>
      <c r="AY184" s="157"/>
      <c r="AZ184" s="157"/>
      <c r="BA184" s="157"/>
      <c r="BB184" s="157"/>
      <c r="BC184" s="157"/>
      <c r="BD184" s="157"/>
      <c r="BE184" s="157"/>
      <c r="BF184" s="201" t="s">
        <v>205</v>
      </c>
      <c r="BG184" s="203" t="s">
        <v>2140</v>
      </c>
      <c r="BH184" s="201" t="str">
        <f t="shared" ref="BH184:BH192" si="318">BF184&amp;AM184</f>
        <v>政府市滨海新城管委</v>
      </c>
      <c r="BI184" s="201" t="str">
        <f t="shared" ref="BI184:BI192" si="319">BG184&amp;AM184</f>
        <v>民生设施市滨海新城管委</v>
      </c>
      <c r="BK184" s="157"/>
      <c r="BL184" s="157"/>
      <c r="BM184" s="157"/>
      <c r="BN184" s="157"/>
      <c r="BO184" s="157">
        <f t="shared" si="311"/>
        <v>1</v>
      </c>
      <c r="BP184" s="157">
        <f t="shared" si="312"/>
        <v>0</v>
      </c>
      <c r="BQ184" s="157">
        <f t="shared" si="313"/>
        <v>0</v>
      </c>
      <c r="BR184" s="157">
        <f t="shared" si="314"/>
        <v>0</v>
      </c>
      <c r="BS184" s="157">
        <f t="shared" si="315"/>
        <v>1</v>
      </c>
      <c r="BT184" s="181"/>
      <c r="BU184" s="206"/>
      <c r="BW184" s="7"/>
      <c r="BX184" s="7"/>
      <c r="BY184" s="7"/>
      <c r="BZ184" s="7"/>
      <c r="CA184" s="7"/>
      <c r="CB184" s="4"/>
      <c r="CC184" s="4"/>
      <c r="CD184" s="4"/>
      <c r="CE184" s="4"/>
      <c r="CF184" s="4"/>
      <c r="CG184" s="4"/>
    </row>
    <row r="185" ht="64.5" customHeight="1" spans="1:85">
      <c r="A185" s="23">
        <f>SUBTOTAL(3,C$7:C185)</f>
        <v>143</v>
      </c>
      <c r="B185" s="55" t="s">
        <v>1781</v>
      </c>
      <c r="C185" s="35" t="s">
        <v>562</v>
      </c>
      <c r="D185" s="55" t="s">
        <v>1782</v>
      </c>
      <c r="E185" s="35" t="s">
        <v>575</v>
      </c>
      <c r="F185" s="36">
        <v>5419</v>
      </c>
      <c r="G185" s="36">
        <v>600</v>
      </c>
      <c r="H185" s="112" t="s">
        <v>1783</v>
      </c>
      <c r="I185" s="156">
        <v>500</v>
      </c>
      <c r="J185" s="156">
        <v>1000</v>
      </c>
      <c r="K185" s="156">
        <v>1500</v>
      </c>
      <c r="L185" s="36">
        <v>2000</v>
      </c>
      <c r="M185" s="36"/>
      <c r="N185" s="36"/>
      <c r="O185" s="707"/>
      <c r="P185" s="90" t="s">
        <v>2538</v>
      </c>
      <c r="Q185" s="90" t="s">
        <v>117</v>
      </c>
      <c r="R185" s="132">
        <v>38.5</v>
      </c>
      <c r="S185" s="132">
        <v>39</v>
      </c>
      <c r="T185" s="132"/>
      <c r="U185" s="132"/>
      <c r="V185" s="132"/>
      <c r="W185" s="132"/>
      <c r="X185" s="132"/>
      <c r="Y185" s="132"/>
      <c r="Z185" s="132"/>
      <c r="AA185" s="132">
        <v>39</v>
      </c>
      <c r="AB185" s="132">
        <v>39</v>
      </c>
      <c r="AC185" s="132"/>
      <c r="AD185" s="132">
        <v>1000</v>
      </c>
      <c r="AE185" s="132"/>
      <c r="AF185" s="132">
        <v>1000</v>
      </c>
      <c r="AG185" s="132"/>
      <c r="AH185" s="132"/>
      <c r="AI185" s="90"/>
      <c r="AJ185" s="90" t="s">
        <v>117</v>
      </c>
      <c r="AK185" s="34" t="s">
        <v>1780</v>
      </c>
      <c r="AL185" s="35" t="s">
        <v>2137</v>
      </c>
      <c r="AM185" s="35" t="s">
        <v>359</v>
      </c>
      <c r="AN185" s="91"/>
      <c r="AO185" s="157"/>
      <c r="AP185" s="158" t="s">
        <v>2138</v>
      </c>
      <c r="AQ185" s="158" t="s">
        <v>2139</v>
      </c>
      <c r="AR185" s="158" t="str">
        <f t="shared" si="317"/>
        <v>社会事业教育</v>
      </c>
      <c r="AS185" s="158" t="str">
        <f t="shared" si="316"/>
        <v>教育</v>
      </c>
      <c r="AT185" s="158"/>
      <c r="AU185" s="161"/>
      <c r="AV185" s="161"/>
      <c r="AW185" s="160"/>
      <c r="AX185" s="157"/>
      <c r="AY185" s="157"/>
      <c r="AZ185" s="157"/>
      <c r="BA185" s="157"/>
      <c r="BB185" s="157"/>
      <c r="BC185" s="157"/>
      <c r="BD185" s="157"/>
      <c r="BE185" s="157"/>
      <c r="BF185" s="202" t="s">
        <v>205</v>
      </c>
      <c r="BG185" s="203" t="s">
        <v>2140</v>
      </c>
      <c r="BH185" s="201" t="str">
        <f t="shared" si="318"/>
        <v>政府钦南区人民政府</v>
      </c>
      <c r="BI185" s="201" t="str">
        <f t="shared" si="319"/>
        <v>民生设施钦南区人民政府</v>
      </c>
      <c r="BJ185" s="204">
        <f t="shared" ref="BJ185:BJ191" si="320">IF(N185&gt;0,1,0)</f>
        <v>0</v>
      </c>
      <c r="BK185" s="157" t="str">
        <f t="shared" ref="BK185:BK191" si="321">IF(L185&lt;1000,"",AR185&amp;"1000")</f>
        <v>社会事业教育1000</v>
      </c>
      <c r="BL185" s="157" t="str">
        <f t="shared" ref="BL185:BL191" si="322">IF(L185&lt;2000,"",AR185&amp;"2000")</f>
        <v>社会事业教育2000</v>
      </c>
      <c r="BM185" s="157" t="str">
        <f t="shared" ref="BM185:BM191" si="323">IF(L185&lt;5000,"",AR185&amp;"5000")</f>
        <v/>
      </c>
      <c r="BN185" s="157"/>
      <c r="BO185" s="157">
        <f t="shared" si="311"/>
        <v>1</v>
      </c>
      <c r="BP185" s="157">
        <f t="shared" si="312"/>
        <v>0</v>
      </c>
      <c r="BQ185" s="157">
        <f t="shared" si="313"/>
        <v>0</v>
      </c>
      <c r="BR185" s="157">
        <f t="shared" si="314"/>
        <v>1</v>
      </c>
      <c r="BS185" s="157">
        <f t="shared" si="315"/>
        <v>1</v>
      </c>
      <c r="BT185" s="157"/>
      <c r="BU185" s="206"/>
      <c r="BW185" s="204"/>
      <c r="BX185" s="227"/>
      <c r="BY185" s="204"/>
      <c r="BZ185" s="204"/>
      <c r="CA185" s="204"/>
      <c r="CB185" s="4"/>
      <c r="CC185" s="4"/>
      <c r="CD185" s="4"/>
      <c r="CE185" s="4"/>
      <c r="CF185" s="4"/>
      <c r="CG185" s="4"/>
    </row>
    <row r="186" ht="59.25" customHeight="1" spans="1:85">
      <c r="A186" s="23">
        <f>SUBTOTAL(3,C$7:C186)</f>
        <v>144</v>
      </c>
      <c r="B186" s="60" t="s">
        <v>1797</v>
      </c>
      <c r="C186" s="55" t="s">
        <v>562</v>
      </c>
      <c r="D186" s="55" t="s">
        <v>1798</v>
      </c>
      <c r="E186" s="55" t="s">
        <v>575</v>
      </c>
      <c r="F186" s="36">
        <v>26216.6</v>
      </c>
      <c r="G186" s="67">
        <v>850</v>
      </c>
      <c r="H186" s="123" t="s">
        <v>1799</v>
      </c>
      <c r="I186" s="67">
        <v>1200</v>
      </c>
      <c r="J186" s="67">
        <v>3000</v>
      </c>
      <c r="K186" s="67">
        <v>4500</v>
      </c>
      <c r="L186" s="67">
        <v>6000</v>
      </c>
      <c r="M186" s="67"/>
      <c r="N186" s="67"/>
      <c r="O186" s="707"/>
      <c r="P186" s="90"/>
      <c r="Q186" s="55"/>
      <c r="R186" s="330">
        <v>157</v>
      </c>
      <c r="S186" s="330">
        <v>157</v>
      </c>
      <c r="T186" s="330"/>
      <c r="U186" s="132"/>
      <c r="V186" s="132"/>
      <c r="W186" s="132"/>
      <c r="X186" s="132"/>
      <c r="Y186" s="132"/>
      <c r="Z186" s="132"/>
      <c r="AA186" s="132"/>
      <c r="AB186" s="132"/>
      <c r="AC186" s="132"/>
      <c r="AD186" s="132"/>
      <c r="AE186" s="132"/>
      <c r="AF186" s="132"/>
      <c r="AG186" s="132"/>
      <c r="AH186" s="132"/>
      <c r="AI186" s="90"/>
      <c r="AJ186" s="90" t="s">
        <v>1800</v>
      </c>
      <c r="AK186" s="34" t="s">
        <v>807</v>
      </c>
      <c r="AL186" s="67" t="s">
        <v>2539</v>
      </c>
      <c r="AM186" s="35" t="s">
        <v>375</v>
      </c>
      <c r="AN186" s="91"/>
      <c r="AO186" s="157"/>
      <c r="AP186" s="158" t="s">
        <v>2138</v>
      </c>
      <c r="AQ186" s="158" t="s">
        <v>2139</v>
      </c>
      <c r="AR186" s="158" t="str">
        <f t="shared" si="317"/>
        <v>社会事业教育</v>
      </c>
      <c r="AS186" s="158" t="str">
        <f t="shared" si="316"/>
        <v>教育</v>
      </c>
      <c r="AT186" s="158"/>
      <c r="AU186" s="157"/>
      <c r="AV186" s="159"/>
      <c r="AW186" s="160"/>
      <c r="AX186" s="157"/>
      <c r="AY186" s="157"/>
      <c r="AZ186" s="157"/>
      <c r="BA186" s="157"/>
      <c r="BB186" s="157"/>
      <c r="BC186" s="157"/>
      <c r="BD186" s="157"/>
      <c r="BE186" s="157"/>
      <c r="BF186" s="201" t="s">
        <v>205</v>
      </c>
      <c r="BG186" s="203" t="s">
        <v>2140</v>
      </c>
      <c r="BH186" s="201" t="str">
        <f t="shared" si="318"/>
        <v>政府钦北区人民政府</v>
      </c>
      <c r="BI186" s="201" t="str">
        <f t="shared" si="319"/>
        <v>民生设施钦北区人民政府</v>
      </c>
      <c r="BJ186" s="204">
        <f t="shared" si="320"/>
        <v>0</v>
      </c>
      <c r="BK186" s="157" t="str">
        <f t="shared" si="321"/>
        <v>社会事业教育1000</v>
      </c>
      <c r="BL186" s="157" t="str">
        <f t="shared" si="322"/>
        <v>社会事业教育2000</v>
      </c>
      <c r="BM186" s="157" t="str">
        <f t="shared" si="323"/>
        <v>社会事业教育5000</v>
      </c>
      <c r="BN186" s="157"/>
      <c r="BO186" s="157">
        <f t="shared" si="311"/>
        <v>1</v>
      </c>
      <c r="BP186" s="157">
        <f t="shared" si="312"/>
        <v>0</v>
      </c>
      <c r="BQ186" s="157">
        <f t="shared" si="313"/>
        <v>0</v>
      </c>
      <c r="BR186" s="157">
        <f t="shared" si="314"/>
        <v>0</v>
      </c>
      <c r="BS186" s="157">
        <f t="shared" si="315"/>
        <v>0</v>
      </c>
      <c r="BT186" s="181"/>
      <c r="BU186" s="206"/>
      <c r="BW186" s="204"/>
      <c r="BX186" s="227"/>
      <c r="BY186" s="204"/>
      <c r="BZ186" s="204"/>
      <c r="CA186" s="204"/>
      <c r="CB186" s="4"/>
      <c r="CC186" s="4"/>
      <c r="CD186" s="4"/>
      <c r="CE186" s="4"/>
      <c r="CF186" s="4"/>
      <c r="CG186" s="4"/>
    </row>
    <row r="187" ht="47.25" customHeight="1" spans="1:85">
      <c r="A187" s="23">
        <f>SUBTOTAL(3,C$7:C187)</f>
        <v>145</v>
      </c>
      <c r="B187" s="55" t="s">
        <v>1801</v>
      </c>
      <c r="C187" s="35" t="s">
        <v>562</v>
      </c>
      <c r="D187" s="55" t="s">
        <v>1802</v>
      </c>
      <c r="E187" s="55" t="s">
        <v>575</v>
      </c>
      <c r="F187" s="35">
        <v>11740</v>
      </c>
      <c r="G187" s="67">
        <v>5000</v>
      </c>
      <c r="H187" s="123" t="s">
        <v>1803</v>
      </c>
      <c r="I187" s="67">
        <v>450</v>
      </c>
      <c r="J187" s="67">
        <v>1000</v>
      </c>
      <c r="K187" s="67">
        <v>1800</v>
      </c>
      <c r="L187" s="35">
        <v>4000</v>
      </c>
      <c r="M187" s="35"/>
      <c r="N187" s="67"/>
      <c r="O187" s="707"/>
      <c r="P187" s="90" t="s">
        <v>2540</v>
      </c>
      <c r="Q187" s="55" t="s">
        <v>2541</v>
      </c>
      <c r="R187" s="132">
        <v>65</v>
      </c>
      <c r="S187" s="132"/>
      <c r="T187" s="132">
        <v>65</v>
      </c>
      <c r="U187" s="132"/>
      <c r="V187" s="132"/>
      <c r="W187" s="132"/>
      <c r="X187" s="132"/>
      <c r="Y187" s="132"/>
      <c r="Z187" s="132"/>
      <c r="AA187" s="132"/>
      <c r="AB187" s="132"/>
      <c r="AC187" s="132"/>
      <c r="AD187" s="132">
        <v>4000</v>
      </c>
      <c r="AE187" s="132"/>
      <c r="AF187" s="132">
        <v>1000</v>
      </c>
      <c r="AG187" s="132"/>
      <c r="AH187" s="132">
        <v>3000</v>
      </c>
      <c r="AI187" s="90"/>
      <c r="AJ187" s="90" t="s">
        <v>806</v>
      </c>
      <c r="AK187" s="34" t="s">
        <v>807</v>
      </c>
      <c r="AL187" s="35" t="s">
        <v>2542</v>
      </c>
      <c r="AM187" s="35" t="s">
        <v>375</v>
      </c>
      <c r="AN187" s="91"/>
      <c r="AO187" s="157"/>
      <c r="AP187" s="158" t="s">
        <v>2138</v>
      </c>
      <c r="AQ187" s="158" t="s">
        <v>2139</v>
      </c>
      <c r="AR187" s="158" t="str">
        <f t="shared" si="317"/>
        <v>社会事业教育</v>
      </c>
      <c r="AS187" s="158" t="str">
        <f t="shared" si="316"/>
        <v>教育</v>
      </c>
      <c r="AT187" s="158"/>
      <c r="AU187" s="157"/>
      <c r="AV187" s="159"/>
      <c r="AW187" s="160"/>
      <c r="AX187" s="157"/>
      <c r="AY187" s="157"/>
      <c r="AZ187" s="157"/>
      <c r="BA187" s="157"/>
      <c r="BB187" s="157"/>
      <c r="BC187" s="157"/>
      <c r="BD187" s="157"/>
      <c r="BE187" s="157"/>
      <c r="BF187" s="201" t="s">
        <v>205</v>
      </c>
      <c r="BG187" s="203" t="s">
        <v>2140</v>
      </c>
      <c r="BH187" s="201" t="str">
        <f t="shared" si="318"/>
        <v>政府钦北区人民政府</v>
      </c>
      <c r="BI187" s="201" t="str">
        <f t="shared" si="319"/>
        <v>民生设施钦北区人民政府</v>
      </c>
      <c r="BJ187" s="204">
        <f t="shared" si="320"/>
        <v>0</v>
      </c>
      <c r="BK187" s="157" t="str">
        <f t="shared" si="321"/>
        <v>社会事业教育1000</v>
      </c>
      <c r="BL187" s="157" t="str">
        <f t="shared" si="322"/>
        <v>社会事业教育2000</v>
      </c>
      <c r="BM187" s="157" t="str">
        <f t="shared" si="323"/>
        <v/>
      </c>
      <c r="BN187" s="157"/>
      <c r="BO187" s="157">
        <f t="shared" si="311"/>
        <v>1</v>
      </c>
      <c r="BP187" s="157">
        <f t="shared" si="312"/>
        <v>0</v>
      </c>
      <c r="BQ187" s="157">
        <f t="shared" si="313"/>
        <v>0</v>
      </c>
      <c r="BR187" s="157">
        <f t="shared" si="314"/>
        <v>0</v>
      </c>
      <c r="BS187" s="157">
        <f t="shared" si="315"/>
        <v>1</v>
      </c>
      <c r="BT187" s="181"/>
      <c r="BU187" s="206"/>
      <c r="BW187" s="204"/>
      <c r="BX187" s="227"/>
      <c r="BY187" s="204"/>
      <c r="BZ187" s="204"/>
      <c r="CA187" s="204"/>
      <c r="CB187" s="4"/>
      <c r="CC187" s="4"/>
      <c r="CD187" s="4"/>
      <c r="CE187" s="4"/>
      <c r="CF187" s="4"/>
      <c r="CG187" s="4"/>
    </row>
    <row r="188" ht="61.5" customHeight="1" spans="1:85">
      <c r="A188" s="23">
        <f>SUBTOTAL(3,C$7:C188)</f>
        <v>146</v>
      </c>
      <c r="B188" s="34" t="s">
        <v>1750</v>
      </c>
      <c r="C188" s="35" t="s">
        <v>562</v>
      </c>
      <c r="D188" s="231" t="s">
        <v>1751</v>
      </c>
      <c r="E188" s="35" t="s">
        <v>575</v>
      </c>
      <c r="F188" s="35">
        <v>4327</v>
      </c>
      <c r="G188" s="35">
        <v>200</v>
      </c>
      <c r="H188" s="54" t="s">
        <v>2543</v>
      </c>
      <c r="I188" s="67">
        <v>100</v>
      </c>
      <c r="J188" s="67">
        <v>500</v>
      </c>
      <c r="K188" s="67">
        <v>800</v>
      </c>
      <c r="L188" s="35">
        <v>1000</v>
      </c>
      <c r="M188" s="35"/>
      <c r="N188" s="67"/>
      <c r="O188" s="707"/>
      <c r="P188" s="90"/>
      <c r="Q188" s="55"/>
      <c r="R188" s="132"/>
      <c r="S188" s="132"/>
      <c r="T188" s="132"/>
      <c r="U188" s="132"/>
      <c r="V188" s="132"/>
      <c r="W188" s="132"/>
      <c r="X188" s="132"/>
      <c r="Y188" s="132"/>
      <c r="Z188" s="132"/>
      <c r="AA188" s="132"/>
      <c r="AB188" s="132"/>
      <c r="AC188" s="132"/>
      <c r="AD188" s="132"/>
      <c r="AE188" s="132"/>
      <c r="AF188" s="132"/>
      <c r="AG188" s="132"/>
      <c r="AH188" s="132"/>
      <c r="AI188" s="90"/>
      <c r="AJ188" s="90" t="s">
        <v>1753</v>
      </c>
      <c r="AK188" s="34" t="s">
        <v>807</v>
      </c>
      <c r="AL188" s="35" t="s">
        <v>2542</v>
      </c>
      <c r="AM188" s="35" t="s">
        <v>375</v>
      </c>
      <c r="AN188" s="91"/>
      <c r="AO188" s="157"/>
      <c r="AP188" s="158" t="s">
        <v>2138</v>
      </c>
      <c r="AQ188" s="158" t="s">
        <v>2139</v>
      </c>
      <c r="AR188" s="158" t="str">
        <f t="shared" si="317"/>
        <v>社会事业教育</v>
      </c>
      <c r="AS188" s="158" t="str">
        <f t="shared" si="316"/>
        <v>教育</v>
      </c>
      <c r="AT188" s="158"/>
      <c r="AU188" s="157"/>
      <c r="AV188" s="159"/>
      <c r="AW188" s="160"/>
      <c r="AX188" s="157"/>
      <c r="AY188" s="157"/>
      <c r="AZ188" s="157"/>
      <c r="BA188" s="157"/>
      <c r="BB188" s="157"/>
      <c r="BC188" s="157"/>
      <c r="BD188" s="157"/>
      <c r="BE188" s="157"/>
      <c r="BF188" s="201" t="s">
        <v>205</v>
      </c>
      <c r="BG188" s="203" t="s">
        <v>2140</v>
      </c>
      <c r="BH188" s="201" t="str">
        <f t="shared" si="318"/>
        <v>政府钦北区人民政府</v>
      </c>
      <c r="BI188" s="201" t="str">
        <f t="shared" si="319"/>
        <v>民生设施钦北区人民政府</v>
      </c>
      <c r="BJ188" s="204">
        <f t="shared" si="320"/>
        <v>0</v>
      </c>
      <c r="BK188" s="157" t="str">
        <f t="shared" si="321"/>
        <v>社会事业教育1000</v>
      </c>
      <c r="BL188" s="157" t="str">
        <f t="shared" si="322"/>
        <v/>
      </c>
      <c r="BM188" s="157" t="str">
        <f t="shared" si="323"/>
        <v/>
      </c>
      <c r="BN188" s="157"/>
      <c r="BO188" s="157">
        <f t="shared" si="311"/>
        <v>0</v>
      </c>
      <c r="BP188" s="157">
        <f t="shared" si="312"/>
        <v>0</v>
      </c>
      <c r="BQ188" s="157">
        <f t="shared" si="313"/>
        <v>0</v>
      </c>
      <c r="BR188" s="157">
        <f t="shared" si="314"/>
        <v>0</v>
      </c>
      <c r="BS188" s="157">
        <f t="shared" si="315"/>
        <v>0</v>
      </c>
      <c r="BT188" s="181"/>
      <c r="BU188" s="206"/>
      <c r="BW188" s="204"/>
      <c r="BX188" s="227"/>
      <c r="BY188" s="204"/>
      <c r="BZ188" s="204"/>
      <c r="CA188" s="204"/>
      <c r="CB188" s="4"/>
      <c r="CC188" s="4"/>
      <c r="CD188" s="4"/>
      <c r="CE188" s="4"/>
      <c r="CF188" s="4"/>
      <c r="CG188" s="4"/>
    </row>
    <row r="189" ht="91.5" customHeight="1" spans="1:85">
      <c r="A189" s="23">
        <f>SUBTOTAL(3,C$7:C189)</f>
        <v>147</v>
      </c>
      <c r="B189" s="55" t="s">
        <v>1771</v>
      </c>
      <c r="C189" s="35" t="s">
        <v>562</v>
      </c>
      <c r="D189" s="55" t="s">
        <v>1772</v>
      </c>
      <c r="E189" s="35" t="s">
        <v>1773</v>
      </c>
      <c r="F189" s="36">
        <v>53000</v>
      </c>
      <c r="G189" s="36">
        <v>7200</v>
      </c>
      <c r="H189" s="123" t="s">
        <v>1774</v>
      </c>
      <c r="I189" s="67">
        <v>100</v>
      </c>
      <c r="J189" s="67">
        <v>500</v>
      </c>
      <c r="K189" s="67">
        <v>800</v>
      </c>
      <c r="L189" s="36">
        <v>2000</v>
      </c>
      <c r="M189" s="36"/>
      <c r="N189" s="67"/>
      <c r="O189" s="707"/>
      <c r="P189" s="90" t="s">
        <v>2544</v>
      </c>
      <c r="Q189" s="90" t="s">
        <v>2545</v>
      </c>
      <c r="R189" s="132"/>
      <c r="S189" s="132"/>
      <c r="T189" s="132"/>
      <c r="U189" s="132"/>
      <c r="V189" s="132"/>
      <c r="W189" s="132"/>
      <c r="X189" s="132"/>
      <c r="Y189" s="132"/>
      <c r="Z189" s="132"/>
      <c r="AA189" s="132"/>
      <c r="AB189" s="132"/>
      <c r="AC189" s="132"/>
      <c r="AD189" s="132"/>
      <c r="AE189" s="132"/>
      <c r="AF189" s="132"/>
      <c r="AG189" s="132"/>
      <c r="AH189" s="132"/>
      <c r="AI189" s="90"/>
      <c r="AJ189" s="90" t="s">
        <v>1775</v>
      </c>
      <c r="AK189" s="34" t="s">
        <v>1321</v>
      </c>
      <c r="AL189" s="35" t="s">
        <v>2546</v>
      </c>
      <c r="AM189" s="35" t="s">
        <v>269</v>
      </c>
      <c r="AN189" s="91"/>
      <c r="AO189" s="157"/>
      <c r="AP189" s="158" t="s">
        <v>2138</v>
      </c>
      <c r="AQ189" s="158" t="s">
        <v>2139</v>
      </c>
      <c r="AR189" s="158" t="str">
        <f t="shared" si="317"/>
        <v>社会事业教育</v>
      </c>
      <c r="AS189" s="158" t="str">
        <f t="shared" si="316"/>
        <v>教育</v>
      </c>
      <c r="AT189" s="158"/>
      <c r="AU189" s="157"/>
      <c r="AV189" s="159"/>
      <c r="AW189" s="160"/>
      <c r="AX189" s="157"/>
      <c r="AY189" s="157"/>
      <c r="AZ189" s="157"/>
      <c r="BA189" s="157"/>
      <c r="BB189" s="157"/>
      <c r="BC189" s="157"/>
      <c r="BD189" s="157"/>
      <c r="BE189" s="157"/>
      <c r="BF189" s="202" t="s">
        <v>205</v>
      </c>
      <c r="BG189" s="203" t="s">
        <v>2140</v>
      </c>
      <c r="BH189" s="201" t="str">
        <f t="shared" si="318"/>
        <v>政府灵山县人民政府</v>
      </c>
      <c r="BI189" s="201" t="str">
        <f t="shared" si="319"/>
        <v>民生设施灵山县人民政府</v>
      </c>
      <c r="BJ189" s="204">
        <f t="shared" si="320"/>
        <v>0</v>
      </c>
      <c r="BK189" s="157" t="str">
        <f t="shared" si="321"/>
        <v>社会事业教育1000</v>
      </c>
      <c r="BL189" s="157" t="str">
        <f t="shared" si="322"/>
        <v>社会事业教育2000</v>
      </c>
      <c r="BM189" s="157" t="str">
        <f t="shared" si="323"/>
        <v/>
      </c>
      <c r="BN189" s="157"/>
      <c r="BO189" s="157">
        <f t="shared" si="311"/>
        <v>0</v>
      </c>
      <c r="BP189" s="157">
        <f t="shared" si="312"/>
        <v>0</v>
      </c>
      <c r="BQ189" s="157">
        <f t="shared" si="313"/>
        <v>0</v>
      </c>
      <c r="BR189" s="157">
        <f t="shared" si="314"/>
        <v>0</v>
      </c>
      <c r="BS189" s="157">
        <f t="shared" si="315"/>
        <v>0</v>
      </c>
      <c r="BT189" s="181"/>
      <c r="BU189" s="206"/>
      <c r="BW189" s="204"/>
      <c r="BX189" s="227"/>
      <c r="BY189" s="204"/>
      <c r="BZ189" s="204"/>
      <c r="CA189" s="204"/>
      <c r="CB189" s="4"/>
      <c r="CC189" s="4"/>
      <c r="CD189" s="4"/>
      <c r="CE189" s="4"/>
      <c r="CF189" s="4"/>
      <c r="CG189" s="4"/>
    </row>
    <row r="190" ht="85.5" customHeight="1" spans="1:85">
      <c r="A190" s="23">
        <f>SUBTOTAL(3,C$7:C190)</f>
        <v>148</v>
      </c>
      <c r="B190" s="55" t="s">
        <v>1847</v>
      </c>
      <c r="C190" s="35" t="s">
        <v>562</v>
      </c>
      <c r="D190" s="55" t="s">
        <v>1848</v>
      </c>
      <c r="E190" s="35" t="s">
        <v>575</v>
      </c>
      <c r="F190" s="36">
        <v>30000</v>
      </c>
      <c r="G190" s="36">
        <v>5500</v>
      </c>
      <c r="H190" s="123" t="s">
        <v>1849</v>
      </c>
      <c r="I190" s="67">
        <v>3000</v>
      </c>
      <c r="J190" s="67">
        <v>5000</v>
      </c>
      <c r="K190" s="67">
        <v>7000</v>
      </c>
      <c r="L190" s="36">
        <v>9000</v>
      </c>
      <c r="M190" s="36"/>
      <c r="N190" s="67"/>
      <c r="O190" s="707"/>
      <c r="P190" s="90" t="s">
        <v>2547</v>
      </c>
      <c r="Q190" s="90" t="s">
        <v>117</v>
      </c>
      <c r="R190" s="132">
        <v>230</v>
      </c>
      <c r="S190" s="132">
        <v>187</v>
      </c>
      <c r="T190" s="132">
        <v>43</v>
      </c>
      <c r="U190" s="132"/>
      <c r="V190" s="132"/>
      <c r="W190" s="132"/>
      <c r="X190" s="132"/>
      <c r="Y190" s="132"/>
      <c r="Z190" s="132"/>
      <c r="AA190" s="132"/>
      <c r="AB190" s="132"/>
      <c r="AC190" s="132"/>
      <c r="AD190" s="132"/>
      <c r="AE190" s="132"/>
      <c r="AF190" s="132"/>
      <c r="AG190" s="132"/>
      <c r="AH190" s="132"/>
      <c r="AI190" s="90"/>
      <c r="AJ190" s="90" t="s">
        <v>1850</v>
      </c>
      <c r="AK190" s="34" t="s">
        <v>1851</v>
      </c>
      <c r="AL190" s="35" t="s">
        <v>2548</v>
      </c>
      <c r="AM190" s="35" t="s">
        <v>269</v>
      </c>
      <c r="AN190" s="91"/>
      <c r="AO190" s="157"/>
      <c r="AP190" s="158" t="s">
        <v>2138</v>
      </c>
      <c r="AQ190" s="158" t="s">
        <v>2139</v>
      </c>
      <c r="AR190" s="158" t="str">
        <f t="shared" si="317"/>
        <v>社会事业教育</v>
      </c>
      <c r="AS190" s="158" t="str">
        <f t="shared" si="316"/>
        <v>教育</v>
      </c>
      <c r="AT190" s="158"/>
      <c r="AU190" s="157"/>
      <c r="AV190" s="159"/>
      <c r="AW190" s="160"/>
      <c r="AX190" s="157"/>
      <c r="AY190" s="157"/>
      <c r="AZ190" s="157"/>
      <c r="BA190" s="157"/>
      <c r="BB190" s="157"/>
      <c r="BC190" s="157"/>
      <c r="BD190" s="157"/>
      <c r="BE190" s="157"/>
      <c r="BF190" s="201" t="s">
        <v>92</v>
      </c>
      <c r="BG190" s="203" t="s">
        <v>2140</v>
      </c>
      <c r="BH190" s="201" t="str">
        <f t="shared" si="318"/>
        <v>企业灵山县人民政府</v>
      </c>
      <c r="BI190" s="201" t="str">
        <f t="shared" si="319"/>
        <v>民生设施灵山县人民政府</v>
      </c>
      <c r="BJ190" s="204">
        <f t="shared" si="320"/>
        <v>0</v>
      </c>
      <c r="BK190" s="157" t="str">
        <f t="shared" si="321"/>
        <v>社会事业教育1000</v>
      </c>
      <c r="BL190" s="157" t="str">
        <f t="shared" si="322"/>
        <v>社会事业教育2000</v>
      </c>
      <c r="BM190" s="157" t="str">
        <f t="shared" si="323"/>
        <v>社会事业教育5000</v>
      </c>
      <c r="BN190" s="157"/>
      <c r="BO190" s="157">
        <f t="shared" si="311"/>
        <v>1</v>
      </c>
      <c r="BP190" s="157">
        <f t="shared" si="312"/>
        <v>0</v>
      </c>
      <c r="BQ190" s="157">
        <f t="shared" si="313"/>
        <v>0</v>
      </c>
      <c r="BR190" s="157">
        <f t="shared" si="314"/>
        <v>0</v>
      </c>
      <c r="BS190" s="157">
        <f t="shared" si="315"/>
        <v>0</v>
      </c>
      <c r="BT190" s="181"/>
      <c r="BU190" s="206"/>
      <c r="BW190" s="204"/>
      <c r="BX190" s="227"/>
      <c r="BY190" s="204"/>
      <c r="BZ190" s="204"/>
      <c r="CA190" s="204"/>
      <c r="CB190" s="4"/>
      <c r="CC190" s="4"/>
      <c r="CD190" s="4"/>
      <c r="CE190" s="4"/>
      <c r="CF190" s="4"/>
      <c r="CG190" s="4"/>
    </row>
    <row r="191" ht="85.5" customHeight="1" spans="1:85">
      <c r="A191" s="23">
        <f>SUBTOTAL(3,C$7:C191)</f>
        <v>149</v>
      </c>
      <c r="B191" s="55" t="s">
        <v>1726</v>
      </c>
      <c r="C191" s="35" t="s">
        <v>562</v>
      </c>
      <c r="D191" s="55" t="s">
        <v>2549</v>
      </c>
      <c r="E191" s="35" t="s">
        <v>575</v>
      </c>
      <c r="F191" s="36">
        <v>10094</v>
      </c>
      <c r="G191" s="36">
        <v>3587</v>
      </c>
      <c r="H191" s="123" t="s">
        <v>1728</v>
      </c>
      <c r="I191" s="67">
        <v>2000</v>
      </c>
      <c r="J191" s="67">
        <v>3000</v>
      </c>
      <c r="K191" s="67">
        <v>4500</v>
      </c>
      <c r="L191" s="36">
        <v>5500</v>
      </c>
      <c r="M191" s="36"/>
      <c r="N191" s="67"/>
      <c r="O191" s="707"/>
      <c r="P191" s="90"/>
      <c r="Q191" s="90"/>
      <c r="R191" s="132"/>
      <c r="S191" s="132"/>
      <c r="T191" s="132"/>
      <c r="U191" s="132"/>
      <c r="V191" s="132"/>
      <c r="W191" s="132"/>
      <c r="X191" s="132"/>
      <c r="Y191" s="132"/>
      <c r="Z191" s="132"/>
      <c r="AA191" s="132"/>
      <c r="AB191" s="132"/>
      <c r="AC191" s="132"/>
      <c r="AD191" s="132"/>
      <c r="AE191" s="132"/>
      <c r="AF191" s="132"/>
      <c r="AG191" s="132"/>
      <c r="AH191" s="132"/>
      <c r="AI191" s="90"/>
      <c r="AJ191" s="112" t="s">
        <v>117</v>
      </c>
      <c r="AK191" s="34" t="s">
        <v>1729</v>
      </c>
      <c r="AL191" s="35" t="s">
        <v>2550</v>
      </c>
      <c r="AM191" s="35" t="s">
        <v>269</v>
      </c>
      <c r="AN191" s="91"/>
      <c r="AO191" s="157"/>
      <c r="AP191" s="158" t="s">
        <v>2138</v>
      </c>
      <c r="AQ191" s="158" t="s">
        <v>2139</v>
      </c>
      <c r="AR191" s="158" t="str">
        <f t="shared" si="317"/>
        <v>社会事业教育</v>
      </c>
      <c r="AS191" s="158" t="str">
        <f t="shared" si="316"/>
        <v>教育</v>
      </c>
      <c r="AT191" s="158"/>
      <c r="AU191" s="157"/>
      <c r="AV191" s="159"/>
      <c r="AW191" s="160"/>
      <c r="AX191" s="157"/>
      <c r="AY191" s="157"/>
      <c r="AZ191" s="157"/>
      <c r="BA191" s="157"/>
      <c r="BB191" s="157"/>
      <c r="BC191" s="157"/>
      <c r="BD191" s="157"/>
      <c r="BE191" s="157"/>
      <c r="BF191" s="202" t="s">
        <v>205</v>
      </c>
      <c r="BG191" s="203" t="s">
        <v>2140</v>
      </c>
      <c r="BH191" s="201" t="str">
        <f t="shared" si="318"/>
        <v>政府灵山县人民政府</v>
      </c>
      <c r="BI191" s="201" t="str">
        <f t="shared" si="319"/>
        <v>民生设施灵山县人民政府</v>
      </c>
      <c r="BJ191" s="204">
        <f t="shared" si="320"/>
        <v>0</v>
      </c>
      <c r="BK191" s="157" t="str">
        <f t="shared" si="321"/>
        <v>社会事业教育1000</v>
      </c>
      <c r="BL191" s="157" t="str">
        <f t="shared" si="322"/>
        <v>社会事业教育2000</v>
      </c>
      <c r="BM191" s="157" t="str">
        <f t="shared" si="323"/>
        <v>社会事业教育5000</v>
      </c>
      <c r="BN191" s="157"/>
      <c r="BO191" s="157">
        <f t="shared" si="311"/>
        <v>0</v>
      </c>
      <c r="BP191" s="157">
        <f t="shared" si="312"/>
        <v>0</v>
      </c>
      <c r="BQ191" s="157">
        <f t="shared" si="313"/>
        <v>0</v>
      </c>
      <c r="BR191" s="157">
        <f t="shared" si="314"/>
        <v>0</v>
      </c>
      <c r="BS191" s="157">
        <f t="shared" si="315"/>
        <v>0</v>
      </c>
      <c r="BT191" s="181"/>
      <c r="BU191" s="206"/>
      <c r="BW191" s="204"/>
      <c r="BX191" s="227"/>
      <c r="BY191" s="204"/>
      <c r="BZ191" s="204"/>
      <c r="CA191" s="204"/>
      <c r="CB191" s="4"/>
      <c r="CC191" s="4"/>
      <c r="CD191" s="4"/>
      <c r="CE191" s="4"/>
      <c r="CF191" s="4"/>
      <c r="CG191" s="4"/>
    </row>
    <row r="192" ht="75" customHeight="1" spans="1:85">
      <c r="A192" s="23">
        <f>SUBTOTAL(3,C$7:C192)</f>
        <v>150</v>
      </c>
      <c r="B192" s="55" t="s">
        <v>1735</v>
      </c>
      <c r="C192" s="35" t="s">
        <v>562</v>
      </c>
      <c r="D192" s="55" t="s">
        <v>2551</v>
      </c>
      <c r="E192" s="35" t="s">
        <v>575</v>
      </c>
      <c r="F192" s="35">
        <v>11305</v>
      </c>
      <c r="G192" s="67">
        <v>400</v>
      </c>
      <c r="H192" s="123" t="s">
        <v>2552</v>
      </c>
      <c r="I192" s="67">
        <v>600</v>
      </c>
      <c r="J192" s="67">
        <v>1300</v>
      </c>
      <c r="K192" s="67">
        <v>2200</v>
      </c>
      <c r="L192" s="35">
        <v>4500</v>
      </c>
      <c r="M192" s="35"/>
      <c r="N192" s="67"/>
      <c r="O192" s="707"/>
      <c r="P192" s="90" t="s">
        <v>2553</v>
      </c>
      <c r="Q192" s="55" t="s">
        <v>117</v>
      </c>
      <c r="R192" s="132">
        <v>8500</v>
      </c>
      <c r="S192" s="132">
        <v>8500</v>
      </c>
      <c r="T192" s="132">
        <v>0</v>
      </c>
      <c r="U192" s="132">
        <v>0</v>
      </c>
      <c r="V192" s="132">
        <v>0</v>
      </c>
      <c r="W192" s="132">
        <v>0</v>
      </c>
      <c r="X192" s="132">
        <v>0</v>
      </c>
      <c r="Y192" s="132">
        <v>0</v>
      </c>
      <c r="Z192" s="132">
        <v>0</v>
      </c>
      <c r="AA192" s="132">
        <v>0</v>
      </c>
      <c r="AB192" s="132">
        <v>0</v>
      </c>
      <c r="AC192" s="132">
        <v>0</v>
      </c>
      <c r="AD192" s="731"/>
      <c r="AE192" s="732">
        <v>9044.99999999999</v>
      </c>
      <c r="AF192" s="732">
        <v>2260</v>
      </c>
      <c r="AG192" s="733"/>
      <c r="AH192" s="733"/>
      <c r="AI192" s="90"/>
      <c r="AJ192" s="90" t="s">
        <v>117</v>
      </c>
      <c r="AK192" s="34" t="s">
        <v>1738</v>
      </c>
      <c r="AL192" s="737" t="s">
        <v>2554</v>
      </c>
      <c r="AM192" s="35" t="s">
        <v>317</v>
      </c>
      <c r="AN192" s="91"/>
      <c r="AO192" s="157"/>
      <c r="AP192" s="158" t="s">
        <v>2138</v>
      </c>
      <c r="AQ192" s="158" t="s">
        <v>2139</v>
      </c>
      <c r="AR192" s="158" t="str">
        <f t="shared" si="317"/>
        <v>社会事业教育</v>
      </c>
      <c r="AS192" s="158" t="str">
        <f t="shared" si="316"/>
        <v>教育</v>
      </c>
      <c r="AT192" s="158"/>
      <c r="AU192" s="157"/>
      <c r="AV192" s="159"/>
      <c r="AW192" s="160"/>
      <c r="AX192" s="157"/>
      <c r="AY192" s="157"/>
      <c r="AZ192" s="157"/>
      <c r="BA192" s="157"/>
      <c r="BB192" s="157"/>
      <c r="BC192" s="157"/>
      <c r="BD192" s="157"/>
      <c r="BE192" s="157"/>
      <c r="BF192" s="202" t="s">
        <v>205</v>
      </c>
      <c r="BG192" s="203" t="s">
        <v>2140</v>
      </c>
      <c r="BH192" s="201" t="str">
        <f t="shared" si="318"/>
        <v>政府浦北县人民政府</v>
      </c>
      <c r="BI192" s="201" t="str">
        <f t="shared" si="319"/>
        <v>民生设施浦北县人民政府</v>
      </c>
      <c r="BK192" s="157"/>
      <c r="BL192" s="157"/>
      <c r="BM192" s="157"/>
      <c r="BN192" s="157"/>
      <c r="BO192" s="157">
        <f t="shared" si="311"/>
        <v>1</v>
      </c>
      <c r="BP192" s="157">
        <f t="shared" si="312"/>
        <v>0</v>
      </c>
      <c r="BQ192" s="157">
        <f t="shared" si="313"/>
        <v>0</v>
      </c>
      <c r="BR192" s="157">
        <f t="shared" si="314"/>
        <v>0</v>
      </c>
      <c r="BS192" s="157">
        <f t="shared" si="315"/>
        <v>0</v>
      </c>
      <c r="BT192" s="181"/>
      <c r="BU192" s="206"/>
      <c r="BW192" s="204"/>
      <c r="BX192" s="227"/>
      <c r="BY192" s="204"/>
      <c r="BZ192" s="204"/>
      <c r="CA192" s="204"/>
      <c r="CB192" s="4"/>
      <c r="CC192" s="4"/>
      <c r="CD192" s="4"/>
      <c r="CE192" s="4"/>
      <c r="CF192" s="4"/>
      <c r="CG192" s="4"/>
    </row>
    <row r="193" s="9" customFormat="1" ht="30" customHeight="1" spans="1:72">
      <c r="A193" s="551"/>
      <c r="B193" s="557" t="str">
        <f>"卫生（"&amp;SUBTOTAL(3,C194:C194)&amp;"个）"</f>
        <v>卫生（1个）</v>
      </c>
      <c r="C193" s="551"/>
      <c r="D193" s="55"/>
      <c r="E193" s="551"/>
      <c r="F193" s="134">
        <f t="shared" ref="F193:M193" si="324">SUBTOTAL(9,F194:F194)</f>
        <v>8773</v>
      </c>
      <c r="G193" s="134">
        <f t="shared" si="324"/>
        <v>4100</v>
      </c>
      <c r="H193" s="134"/>
      <c r="I193" s="134">
        <f t="shared" si="324"/>
        <v>600</v>
      </c>
      <c r="J193" s="134">
        <f t="shared" si="324"/>
        <v>1300</v>
      </c>
      <c r="K193" s="134">
        <f t="shared" si="324"/>
        <v>2200</v>
      </c>
      <c r="L193" s="134">
        <f t="shared" si="324"/>
        <v>4000</v>
      </c>
      <c r="M193" s="134">
        <f t="shared" si="324"/>
        <v>0</v>
      </c>
      <c r="N193" s="134"/>
      <c r="O193" s="134"/>
      <c r="P193" s="90"/>
      <c r="Q193" s="90"/>
      <c r="R193" s="132"/>
      <c r="S193" s="132"/>
      <c r="T193" s="132"/>
      <c r="U193" s="132"/>
      <c r="V193" s="132"/>
      <c r="W193" s="132"/>
      <c r="X193" s="132"/>
      <c r="Y193" s="132"/>
      <c r="Z193" s="132"/>
      <c r="AA193" s="132"/>
      <c r="AB193" s="132"/>
      <c r="AC193" s="132"/>
      <c r="AD193" s="132"/>
      <c r="AE193" s="132"/>
      <c r="AF193" s="132"/>
      <c r="AG193" s="132"/>
      <c r="AH193" s="132"/>
      <c r="AI193" s="90"/>
      <c r="AJ193" s="90"/>
      <c r="AK193" s="591"/>
      <c r="AL193" s="134"/>
      <c r="AM193" s="134"/>
      <c r="AN193" s="91"/>
      <c r="AO193" s="165"/>
      <c r="AP193" s="158"/>
      <c r="AQ193" s="158"/>
      <c r="AR193" s="158"/>
      <c r="AS193" s="158"/>
      <c r="AT193" s="158"/>
      <c r="AU193" s="165"/>
      <c r="AV193" s="169"/>
      <c r="AW193" s="165"/>
      <c r="AX193" s="165"/>
      <c r="AY193" s="165"/>
      <c r="AZ193" s="165"/>
      <c r="BA193" s="165"/>
      <c r="BB193" s="169"/>
      <c r="BC193" s="169"/>
      <c r="BD193" s="169"/>
      <c r="BE193" s="165"/>
      <c r="BF193" s="201"/>
      <c r="BG193" s="685"/>
      <c r="BK193" s="201"/>
      <c r="BL193" s="201"/>
      <c r="BM193" s="201"/>
      <c r="BN193" s="201"/>
      <c r="BO193" s="201"/>
      <c r="BP193" s="201"/>
      <c r="BQ193" s="201"/>
      <c r="BR193" s="201"/>
      <c r="BS193" s="201"/>
      <c r="BT193" s="181"/>
    </row>
    <row r="194" ht="78" customHeight="1" spans="1:79">
      <c r="A194" s="23">
        <f>SUBTOTAL(3,C$7:C194)</f>
        <v>151</v>
      </c>
      <c r="B194" s="243" t="s">
        <v>1740</v>
      </c>
      <c r="C194" s="35" t="s">
        <v>562</v>
      </c>
      <c r="D194" s="232" t="s">
        <v>1741</v>
      </c>
      <c r="E194" s="35" t="s">
        <v>575</v>
      </c>
      <c r="F194" s="35">
        <v>8773</v>
      </c>
      <c r="G194" s="35">
        <v>4100</v>
      </c>
      <c r="H194" s="123" t="s">
        <v>2555</v>
      </c>
      <c r="I194" s="67">
        <v>600</v>
      </c>
      <c r="J194" s="67">
        <v>1300</v>
      </c>
      <c r="K194" s="67">
        <v>2200</v>
      </c>
      <c r="L194" s="35">
        <v>4000</v>
      </c>
      <c r="M194" s="35"/>
      <c r="N194" s="67"/>
      <c r="O194" s="707"/>
      <c r="P194" s="90" t="s">
        <v>2556</v>
      </c>
      <c r="Q194" s="90" t="s">
        <v>117</v>
      </c>
      <c r="R194" s="132">
        <v>4.857</v>
      </c>
      <c r="S194" s="132">
        <v>4.857</v>
      </c>
      <c r="T194" s="132"/>
      <c r="U194" s="132"/>
      <c r="V194" s="132"/>
      <c r="W194" s="132"/>
      <c r="X194" s="132"/>
      <c r="Y194" s="132"/>
      <c r="Z194" s="132"/>
      <c r="AA194" s="132"/>
      <c r="AB194" s="132"/>
      <c r="AC194" s="132"/>
      <c r="AD194" s="99">
        <v>5000</v>
      </c>
      <c r="AE194" s="685"/>
      <c r="AF194" s="165"/>
      <c r="AG194" s="607"/>
      <c r="AH194" s="99">
        <v>3773</v>
      </c>
      <c r="AI194" s="90"/>
      <c r="AJ194" s="90" t="s">
        <v>1743</v>
      </c>
      <c r="AK194" s="34" t="s">
        <v>785</v>
      </c>
      <c r="AL194" s="35" t="s">
        <v>2557</v>
      </c>
      <c r="AM194" s="35" t="s">
        <v>317</v>
      </c>
      <c r="AN194" s="91"/>
      <c r="AO194" s="157"/>
      <c r="AP194" s="158" t="s">
        <v>2147</v>
      </c>
      <c r="AQ194" s="158" t="s">
        <v>2139</v>
      </c>
      <c r="AR194" s="158" t="str">
        <f t="shared" ref="AR194:AR198" si="325">AQ194&amp;AP194</f>
        <v>社会事业卫生</v>
      </c>
      <c r="AS194" s="158" t="str">
        <f>AP194</f>
        <v>卫生</v>
      </c>
      <c r="AT194" s="158"/>
      <c r="AU194" s="157"/>
      <c r="AV194" s="159"/>
      <c r="AW194" s="160"/>
      <c r="AX194" s="157"/>
      <c r="AY194" s="157"/>
      <c r="AZ194" s="157"/>
      <c r="BA194" s="157"/>
      <c r="BB194" s="157"/>
      <c r="BC194" s="157"/>
      <c r="BD194" s="157"/>
      <c r="BE194" s="157"/>
      <c r="BF194" s="201" t="s">
        <v>205</v>
      </c>
      <c r="BG194" s="203" t="s">
        <v>2140</v>
      </c>
      <c r="BH194" s="201" t="str">
        <f t="shared" ref="BH194:BH198" si="326">BF194&amp;AM194</f>
        <v>政府浦北县人民政府</v>
      </c>
      <c r="BI194" s="201" t="str">
        <f t="shared" ref="BI194:BI198" si="327">BG194&amp;AM194</f>
        <v>民生设施浦北县人民政府</v>
      </c>
      <c r="BJ194" s="204">
        <f t="shared" ref="BJ194:BJ198" si="328">IF(N194&gt;0,1,0)</f>
        <v>0</v>
      </c>
      <c r="BK194" s="157" t="str">
        <f t="shared" ref="BK194:BK198" si="329">IF(L194&lt;1000,"",AR194&amp;"1000")</f>
        <v>社会事业卫生1000</v>
      </c>
      <c r="BL194" s="157" t="str">
        <f t="shared" ref="BL194:BL198" si="330">IF(L194&lt;2000,"",AR194&amp;"2000")</f>
        <v>社会事业卫生2000</v>
      </c>
      <c r="BM194" s="157" t="str">
        <f t="shared" ref="BM194:BM198" si="331">IF(L194&lt;5000,"",AR194&amp;"5000")</f>
        <v/>
      </c>
      <c r="BN194" s="157"/>
      <c r="BO194" s="157">
        <f t="shared" ref="BO194:BO198" si="332">IF(R194&gt;0,1,0)</f>
        <v>1</v>
      </c>
      <c r="BP194" s="157">
        <f t="shared" ref="BP194:BP198" si="333">IF(X194&gt;0,1,0)</f>
        <v>0</v>
      </c>
      <c r="BQ194" s="157">
        <f t="shared" ref="BQ194:BQ198" si="334">IF(U194&gt;0,1,0)</f>
        <v>0</v>
      </c>
      <c r="BR194" s="157">
        <f t="shared" ref="BR194:BR198" si="335">IF(AA194&gt;0,1,0)</f>
        <v>0</v>
      </c>
      <c r="BS194" s="157">
        <f t="shared" ref="BS194:BS198" si="336">IF(AD194&gt;0,1,0)</f>
        <v>1</v>
      </c>
      <c r="BT194" s="181"/>
      <c r="BU194" s="206"/>
      <c r="BW194" s="204"/>
      <c r="BX194" s="227"/>
      <c r="BY194" s="204"/>
      <c r="BZ194" s="204"/>
      <c r="CA194" s="204"/>
    </row>
    <row r="195" s="9" customFormat="1" ht="30" customHeight="1" spans="1:72">
      <c r="A195" s="551"/>
      <c r="B195" s="557" t="str">
        <f>"民政（"&amp;SUBTOTAL(3,C196:C196)&amp;"个）"</f>
        <v>民政（1个）</v>
      </c>
      <c r="C195" s="551"/>
      <c r="D195" s="55"/>
      <c r="E195" s="551"/>
      <c r="F195" s="134">
        <f t="shared" ref="F195:M195" si="337">SUBTOTAL(9,F196:F196)</f>
        <v>15599</v>
      </c>
      <c r="G195" s="134">
        <f t="shared" si="337"/>
        <v>8852</v>
      </c>
      <c r="H195" s="134"/>
      <c r="I195" s="134">
        <f t="shared" si="337"/>
        <v>700</v>
      </c>
      <c r="J195" s="134">
        <f t="shared" si="337"/>
        <v>1500</v>
      </c>
      <c r="K195" s="134">
        <f t="shared" si="337"/>
        <v>2250</v>
      </c>
      <c r="L195" s="134">
        <f t="shared" si="337"/>
        <v>3000</v>
      </c>
      <c r="M195" s="134">
        <f t="shared" si="337"/>
        <v>0</v>
      </c>
      <c r="N195" s="134"/>
      <c r="O195" s="134"/>
      <c r="P195" s="90"/>
      <c r="Q195" s="90"/>
      <c r="R195" s="132"/>
      <c r="S195" s="132"/>
      <c r="T195" s="132"/>
      <c r="U195" s="132"/>
      <c r="V195" s="132"/>
      <c r="W195" s="132"/>
      <c r="X195" s="132"/>
      <c r="Y195" s="132"/>
      <c r="Z195" s="132"/>
      <c r="AA195" s="132"/>
      <c r="AB195" s="132"/>
      <c r="AC195" s="132"/>
      <c r="AD195" s="132"/>
      <c r="AE195" s="132"/>
      <c r="AF195" s="132"/>
      <c r="AG195" s="132"/>
      <c r="AH195" s="132"/>
      <c r="AI195" s="90"/>
      <c r="AJ195" s="90"/>
      <c r="AK195" s="591"/>
      <c r="AL195" s="134"/>
      <c r="AM195" s="134"/>
      <c r="AN195" s="91"/>
      <c r="AO195" s="165"/>
      <c r="AP195" s="158"/>
      <c r="AQ195" s="158"/>
      <c r="AR195" s="158"/>
      <c r="AS195" s="158"/>
      <c r="AT195" s="158"/>
      <c r="AU195" s="165"/>
      <c r="AV195" s="169"/>
      <c r="AW195" s="165"/>
      <c r="AX195" s="165"/>
      <c r="AY195" s="165"/>
      <c r="AZ195" s="165"/>
      <c r="BA195" s="165"/>
      <c r="BB195" s="169"/>
      <c r="BC195" s="169"/>
      <c r="BD195" s="169"/>
      <c r="BE195" s="165"/>
      <c r="BF195" s="201"/>
      <c r="BG195" s="685"/>
      <c r="BK195" s="201"/>
      <c r="BL195" s="201"/>
      <c r="BM195" s="201"/>
      <c r="BN195" s="201"/>
      <c r="BO195" s="201"/>
      <c r="BP195" s="201"/>
      <c r="BQ195" s="201"/>
      <c r="BR195" s="201"/>
      <c r="BS195" s="201"/>
      <c r="BT195" s="181"/>
    </row>
    <row r="196" ht="75.75" customHeight="1" spans="1:79">
      <c r="A196" s="23">
        <f>SUBTOTAL(3,C$7:C196)</f>
        <v>152</v>
      </c>
      <c r="B196" s="55" t="s">
        <v>1860</v>
      </c>
      <c r="C196" s="35" t="s">
        <v>562</v>
      </c>
      <c r="D196" s="55" t="s">
        <v>1861</v>
      </c>
      <c r="E196" s="35" t="s">
        <v>575</v>
      </c>
      <c r="F196" s="36">
        <v>15599</v>
      </c>
      <c r="G196" s="36">
        <v>8852</v>
      </c>
      <c r="H196" s="112" t="s">
        <v>1862</v>
      </c>
      <c r="I196" s="156">
        <v>700</v>
      </c>
      <c r="J196" s="156">
        <v>1500</v>
      </c>
      <c r="K196" s="156">
        <v>2250</v>
      </c>
      <c r="L196" s="36">
        <v>3000</v>
      </c>
      <c r="M196" s="36"/>
      <c r="N196" s="36"/>
      <c r="O196" s="707"/>
      <c r="P196" s="90" t="s">
        <v>2558</v>
      </c>
      <c r="Q196" s="90" t="s">
        <v>2559</v>
      </c>
      <c r="R196" s="132">
        <v>280</v>
      </c>
      <c r="S196" s="132">
        <v>280</v>
      </c>
      <c r="T196" s="132"/>
      <c r="U196" s="132">
        <v>280</v>
      </c>
      <c r="V196" s="132">
        <v>280</v>
      </c>
      <c r="W196" s="132"/>
      <c r="X196" s="132"/>
      <c r="Y196" s="132"/>
      <c r="Z196" s="132"/>
      <c r="AA196" s="132">
        <v>315</v>
      </c>
      <c r="AB196" s="132">
        <v>310</v>
      </c>
      <c r="AC196" s="132">
        <v>5</v>
      </c>
      <c r="AD196" s="132">
        <v>2000</v>
      </c>
      <c r="AE196" s="132"/>
      <c r="AF196" s="132">
        <v>2000</v>
      </c>
      <c r="AG196" s="132"/>
      <c r="AH196" s="132"/>
      <c r="AI196" s="90"/>
      <c r="AJ196" s="90" t="s">
        <v>727</v>
      </c>
      <c r="AK196" s="34" t="s">
        <v>1863</v>
      </c>
      <c r="AL196" s="35" t="s">
        <v>2560</v>
      </c>
      <c r="AM196" s="35" t="s">
        <v>359</v>
      </c>
      <c r="AN196" s="91"/>
      <c r="AO196" s="157"/>
      <c r="AP196" s="158" t="s">
        <v>2158</v>
      </c>
      <c r="AQ196" s="158" t="s">
        <v>2139</v>
      </c>
      <c r="AR196" s="158" t="str">
        <f t="shared" si="325"/>
        <v>社会事业民政</v>
      </c>
      <c r="AS196" s="158" t="s">
        <v>2051</v>
      </c>
      <c r="AT196" s="158"/>
      <c r="AU196" s="161"/>
      <c r="AV196" s="161"/>
      <c r="AW196" s="160"/>
      <c r="AX196" s="157"/>
      <c r="AY196" s="157"/>
      <c r="AZ196" s="157"/>
      <c r="BA196" s="157"/>
      <c r="BB196" s="157"/>
      <c r="BC196" s="157"/>
      <c r="BD196" s="157"/>
      <c r="BE196" s="157"/>
      <c r="BF196" s="201" t="s">
        <v>92</v>
      </c>
      <c r="BG196" s="203" t="s">
        <v>2140</v>
      </c>
      <c r="BH196" s="201" t="str">
        <f t="shared" si="326"/>
        <v>企业钦南区人民政府</v>
      </c>
      <c r="BI196" s="201" t="str">
        <f t="shared" si="327"/>
        <v>民生设施钦南区人民政府</v>
      </c>
      <c r="BJ196" s="204">
        <f t="shared" si="328"/>
        <v>0</v>
      </c>
      <c r="BK196" s="157" t="str">
        <f t="shared" si="329"/>
        <v>社会事业民政1000</v>
      </c>
      <c r="BL196" s="157" t="str">
        <f t="shared" si="330"/>
        <v>社会事业民政2000</v>
      </c>
      <c r="BM196" s="157" t="str">
        <f t="shared" si="331"/>
        <v/>
      </c>
      <c r="BN196" s="157"/>
      <c r="BO196" s="157">
        <f t="shared" si="332"/>
        <v>1</v>
      </c>
      <c r="BP196" s="157">
        <f t="shared" si="333"/>
        <v>0</v>
      </c>
      <c r="BQ196" s="157">
        <f t="shared" si="334"/>
        <v>1</v>
      </c>
      <c r="BR196" s="157">
        <f t="shared" si="335"/>
        <v>1</v>
      </c>
      <c r="BS196" s="157">
        <f t="shared" si="336"/>
        <v>1</v>
      </c>
      <c r="BT196" s="157"/>
      <c r="BU196" s="206"/>
      <c r="BW196" s="204"/>
      <c r="BX196" s="227"/>
      <c r="BY196" s="204"/>
      <c r="BZ196" s="204"/>
      <c r="CA196" s="204"/>
    </row>
    <row r="197" s="9" customFormat="1" ht="30" customHeight="1" spans="1:72">
      <c r="A197" s="551"/>
      <c r="B197" s="557" t="str">
        <f>"其他（"&amp;SUBTOTAL(3,C198:C198)&amp;"个）"</f>
        <v>其他（1个）</v>
      </c>
      <c r="C197" s="551"/>
      <c r="D197" s="55"/>
      <c r="E197" s="551"/>
      <c r="F197" s="134">
        <f t="shared" ref="F197:M197" si="338">SUBTOTAL(9,F198:F198)</f>
        <v>18000</v>
      </c>
      <c r="G197" s="134">
        <f t="shared" si="338"/>
        <v>5300</v>
      </c>
      <c r="H197" s="134"/>
      <c r="I197" s="134">
        <f t="shared" si="338"/>
        <v>1500</v>
      </c>
      <c r="J197" s="134">
        <f t="shared" si="338"/>
        <v>3200</v>
      </c>
      <c r="K197" s="134">
        <f t="shared" si="338"/>
        <v>5000</v>
      </c>
      <c r="L197" s="134">
        <f t="shared" si="338"/>
        <v>5000</v>
      </c>
      <c r="M197" s="134">
        <f t="shared" si="338"/>
        <v>0</v>
      </c>
      <c r="N197" s="134"/>
      <c r="O197" s="134"/>
      <c r="P197" s="90"/>
      <c r="Q197" s="90"/>
      <c r="R197" s="132"/>
      <c r="S197" s="132"/>
      <c r="T197" s="132"/>
      <c r="U197" s="132"/>
      <c r="V197" s="132"/>
      <c r="W197" s="132"/>
      <c r="X197" s="132"/>
      <c r="Y197" s="132"/>
      <c r="Z197" s="132"/>
      <c r="AA197" s="132"/>
      <c r="AB197" s="132"/>
      <c r="AC197" s="132"/>
      <c r="AD197" s="132"/>
      <c r="AE197" s="132"/>
      <c r="AF197" s="132"/>
      <c r="AG197" s="132"/>
      <c r="AH197" s="132"/>
      <c r="AI197" s="90"/>
      <c r="AJ197" s="90"/>
      <c r="AK197" s="591"/>
      <c r="AL197" s="134"/>
      <c r="AM197" s="134"/>
      <c r="AN197" s="91"/>
      <c r="AO197" s="165"/>
      <c r="AP197" s="158"/>
      <c r="AQ197" s="158"/>
      <c r="AR197" s="158"/>
      <c r="AS197" s="158"/>
      <c r="AT197" s="158"/>
      <c r="AU197" s="165"/>
      <c r="AV197" s="169"/>
      <c r="AW197" s="165"/>
      <c r="AX197" s="165"/>
      <c r="AY197" s="165"/>
      <c r="AZ197" s="165"/>
      <c r="BA197" s="165"/>
      <c r="BB197" s="169"/>
      <c r="BC197" s="169"/>
      <c r="BD197" s="169"/>
      <c r="BE197" s="165"/>
      <c r="BF197" s="201"/>
      <c r="BG197" s="685"/>
      <c r="BK197" s="201"/>
      <c r="BL197" s="201"/>
      <c r="BM197" s="201"/>
      <c r="BN197" s="201"/>
      <c r="BO197" s="201"/>
      <c r="BP197" s="201"/>
      <c r="BQ197" s="201"/>
      <c r="BR197" s="201"/>
      <c r="BS197" s="201"/>
      <c r="BT197" s="181"/>
    </row>
    <row r="198" s="201" customFormat="1" ht="61.9" customHeight="1" spans="1:79">
      <c r="A198" s="23">
        <f>SUBTOTAL(3,C$7:C198)</f>
        <v>153</v>
      </c>
      <c r="B198" s="55" t="s">
        <v>1869</v>
      </c>
      <c r="C198" s="35" t="s">
        <v>562</v>
      </c>
      <c r="D198" s="231" t="s">
        <v>1870</v>
      </c>
      <c r="E198" s="35" t="s">
        <v>575</v>
      </c>
      <c r="F198" s="35">
        <v>18000</v>
      </c>
      <c r="G198" s="35">
        <v>5300</v>
      </c>
      <c r="H198" s="123" t="s">
        <v>1458</v>
      </c>
      <c r="I198" s="67">
        <v>1500</v>
      </c>
      <c r="J198" s="67">
        <v>3200</v>
      </c>
      <c r="K198" s="67">
        <v>5000</v>
      </c>
      <c r="L198" s="35">
        <v>5000</v>
      </c>
      <c r="M198" s="35"/>
      <c r="N198" s="111"/>
      <c r="O198" s="67"/>
      <c r="P198" s="55" t="s">
        <v>2561</v>
      </c>
      <c r="Q198" s="55" t="s">
        <v>117</v>
      </c>
      <c r="R198" s="132">
        <v>30</v>
      </c>
      <c r="S198" s="132">
        <v>30</v>
      </c>
      <c r="T198" s="132"/>
      <c r="U198" s="132"/>
      <c r="V198" s="132"/>
      <c r="W198" s="132"/>
      <c r="X198" s="132"/>
      <c r="Y198" s="132"/>
      <c r="Z198" s="132"/>
      <c r="AA198" s="132"/>
      <c r="AB198" s="132"/>
      <c r="AC198" s="132"/>
      <c r="AD198" s="132"/>
      <c r="AE198" s="132"/>
      <c r="AF198" s="132"/>
      <c r="AG198" s="132"/>
      <c r="AH198" s="132"/>
      <c r="AI198" s="90"/>
      <c r="AJ198" s="90" t="s">
        <v>117</v>
      </c>
      <c r="AK198" s="647" t="s">
        <v>1871</v>
      </c>
      <c r="AL198" s="67" t="s">
        <v>2562</v>
      </c>
      <c r="AM198" s="35" t="s">
        <v>317</v>
      </c>
      <c r="AN198" s="91"/>
      <c r="AO198" s="157"/>
      <c r="AP198" s="158" t="s">
        <v>2051</v>
      </c>
      <c r="AQ198" s="158" t="s">
        <v>2139</v>
      </c>
      <c r="AR198" s="158" t="str">
        <f t="shared" si="325"/>
        <v>社会事业其他</v>
      </c>
      <c r="AS198" s="158" t="s">
        <v>2051</v>
      </c>
      <c r="AT198" s="158"/>
      <c r="AU198" s="161"/>
      <c r="AV198" s="161"/>
      <c r="AW198" s="160"/>
      <c r="AX198" s="157"/>
      <c r="AY198" s="157"/>
      <c r="AZ198" s="157"/>
      <c r="BA198" s="157"/>
      <c r="BB198" s="157"/>
      <c r="BC198" s="157"/>
      <c r="BD198" s="157"/>
      <c r="BE198" s="157"/>
      <c r="BF198" s="157" t="s">
        <v>92</v>
      </c>
      <c r="BG198" s="203" t="s">
        <v>2140</v>
      </c>
      <c r="BH198" s="201" t="str">
        <f t="shared" si="326"/>
        <v>企业浦北县人民政府</v>
      </c>
      <c r="BI198" s="201" t="str">
        <f t="shared" si="327"/>
        <v>民生设施浦北县人民政府</v>
      </c>
      <c r="BJ198" s="204">
        <f t="shared" si="328"/>
        <v>0</v>
      </c>
      <c r="BK198" s="157" t="str">
        <f t="shared" si="329"/>
        <v>社会事业其他1000</v>
      </c>
      <c r="BL198" s="157" t="str">
        <f t="shared" si="330"/>
        <v>社会事业其他2000</v>
      </c>
      <c r="BM198" s="157" t="str">
        <f t="shared" si="331"/>
        <v>社会事业其他5000</v>
      </c>
      <c r="BN198" s="157"/>
      <c r="BO198" s="157">
        <f t="shared" si="332"/>
        <v>1</v>
      </c>
      <c r="BP198" s="157">
        <f t="shared" si="333"/>
        <v>0</v>
      </c>
      <c r="BQ198" s="157">
        <f t="shared" si="334"/>
        <v>0</v>
      </c>
      <c r="BR198" s="157">
        <f t="shared" si="335"/>
        <v>0</v>
      </c>
      <c r="BS198" s="157">
        <f t="shared" si="336"/>
        <v>0</v>
      </c>
      <c r="BT198" s="181"/>
      <c r="BU198" s="206"/>
      <c r="BV198" s="7"/>
      <c r="BW198" s="206"/>
      <c r="BX198" s="225"/>
      <c r="BY198" s="206"/>
      <c r="BZ198" s="206"/>
      <c r="CA198" s="206"/>
    </row>
    <row r="199" s="8" customFormat="1" ht="15" spans="1:85">
      <c r="A199" s="739"/>
      <c r="B199" s="740"/>
      <c r="C199" s="179">
        <f>SUBTOTAL(3,C10:C198)</f>
        <v>153</v>
      </c>
      <c r="D199" s="217">
        <v>141</v>
      </c>
      <c r="E199" s="179">
        <f>SUBTOTAL(3,E10:E198)</f>
        <v>153</v>
      </c>
      <c r="F199" s="179">
        <f t="shared" ref="F199:L199" si="339">SUBTOTAL(9,F10:F198)</f>
        <v>15839617.18</v>
      </c>
      <c r="G199" s="179">
        <f t="shared" si="339"/>
        <v>2812822.8</v>
      </c>
      <c r="H199" s="179"/>
      <c r="I199" s="179">
        <f t="shared" si="339"/>
        <v>337720</v>
      </c>
      <c r="J199" s="179">
        <f t="shared" si="339"/>
        <v>875360</v>
      </c>
      <c r="K199" s="179">
        <f t="shared" si="339"/>
        <v>1593672</v>
      </c>
      <c r="L199" s="179">
        <f t="shared" si="339"/>
        <v>2362124</v>
      </c>
      <c r="M199" s="179">
        <f t="shared" ref="M199:AI199" si="340">SUBTOTAL(9,M10:M198)</f>
        <v>62000</v>
      </c>
      <c r="N199" s="179">
        <f t="shared" si="340"/>
        <v>0</v>
      </c>
      <c r="O199" s="179">
        <f t="shared" si="340"/>
        <v>0</v>
      </c>
      <c r="P199" s="179">
        <f t="shared" si="340"/>
        <v>0</v>
      </c>
      <c r="Q199" s="179">
        <f t="shared" si="340"/>
        <v>0</v>
      </c>
      <c r="R199" s="179">
        <f t="shared" si="340"/>
        <v>74798.0965</v>
      </c>
      <c r="S199" s="179">
        <f t="shared" si="340"/>
        <v>25819.2701</v>
      </c>
      <c r="T199" s="179">
        <f t="shared" si="340"/>
        <v>48659.8289</v>
      </c>
      <c r="U199" s="179">
        <f t="shared" si="340"/>
        <v>22153.22</v>
      </c>
      <c r="V199" s="179">
        <f t="shared" si="340"/>
        <v>13159.473</v>
      </c>
      <c r="W199" s="179">
        <f t="shared" si="340"/>
        <v>8944</v>
      </c>
      <c r="X199" s="179">
        <f t="shared" si="340"/>
        <v>3902.0545</v>
      </c>
      <c r="Y199" s="179">
        <f t="shared" si="340"/>
        <v>2318.2545</v>
      </c>
      <c r="Z199" s="179">
        <f t="shared" si="340"/>
        <v>1583.8</v>
      </c>
      <c r="AA199" s="179">
        <f t="shared" si="340"/>
        <v>33716.4922</v>
      </c>
      <c r="AB199" s="179">
        <f t="shared" si="340"/>
        <v>18065.3392</v>
      </c>
      <c r="AC199" s="179">
        <f t="shared" si="340"/>
        <v>15552.053</v>
      </c>
      <c r="AD199" s="179">
        <f t="shared" si="340"/>
        <v>599918</v>
      </c>
      <c r="AE199" s="179"/>
      <c r="AF199" s="179">
        <f t="shared" si="340"/>
        <v>196505</v>
      </c>
      <c r="AG199" s="179"/>
      <c r="AH199" s="179">
        <f t="shared" si="340"/>
        <v>417336</v>
      </c>
      <c r="AI199" s="179">
        <f t="shared" si="340"/>
        <v>0</v>
      </c>
      <c r="AJ199" s="743"/>
      <c r="AK199" s="744"/>
      <c r="AL199" s="745"/>
      <c r="AM199" s="746"/>
      <c r="AN199" s="589"/>
      <c r="AO199" s="179"/>
      <c r="AP199" s="226"/>
      <c r="AQ199" s="226"/>
      <c r="AR199" s="226"/>
      <c r="AS199" s="226"/>
      <c r="AT199" s="226"/>
      <c r="AU199" s="179"/>
      <c r="AV199" s="198"/>
      <c r="AW199" s="179"/>
      <c r="AX199" s="179"/>
      <c r="AY199" s="179"/>
      <c r="AZ199" s="179"/>
      <c r="BA199" s="179"/>
      <c r="BB199" s="179"/>
      <c r="BC199" s="179"/>
      <c r="BD199" s="179"/>
      <c r="BE199" s="179"/>
      <c r="BF199" s="179"/>
      <c r="BG199" s="198"/>
      <c r="BH199" s="197"/>
      <c r="BI199" s="197"/>
      <c r="BJ199" s="197"/>
      <c r="BK199" s="179"/>
      <c r="BL199" s="179"/>
      <c r="BM199" s="179"/>
      <c r="BN199" s="179"/>
      <c r="BO199" s="179"/>
      <c r="BP199" s="179"/>
      <c r="BQ199" s="179"/>
      <c r="BR199" s="179"/>
      <c r="BS199" s="179"/>
      <c r="BT199" s="747"/>
      <c r="BU199" s="199"/>
      <c r="BV199" s="199"/>
      <c r="BW199" s="217"/>
      <c r="BX199" s="748"/>
      <c r="BY199" s="217"/>
      <c r="BZ199" s="217"/>
      <c r="CA199" s="217"/>
      <c r="CB199" s="199"/>
      <c r="CC199" s="199"/>
      <c r="CD199" s="199"/>
      <c r="CE199" s="199"/>
      <c r="CF199" s="199"/>
      <c r="CG199" s="199"/>
    </row>
    <row r="200" ht="13.5" spans="18:34">
      <c r="R200" s="741"/>
      <c r="S200" s="741"/>
      <c r="T200" s="741"/>
      <c r="U200" s="741"/>
      <c r="V200" s="741"/>
      <c r="W200" s="741"/>
      <c r="X200" s="741"/>
      <c r="Y200" s="741"/>
      <c r="Z200" s="741"/>
      <c r="AA200" s="741"/>
      <c r="AB200" s="741"/>
      <c r="AC200" s="741"/>
      <c r="AD200" s="741"/>
      <c r="AE200" s="741"/>
      <c r="AF200" s="741"/>
      <c r="AG200" s="741"/>
      <c r="AH200" s="741"/>
    </row>
    <row r="201" ht="13.5" spans="18:34">
      <c r="R201" s="742"/>
      <c r="S201" s="742"/>
      <c r="T201" s="742"/>
      <c r="U201" s="742"/>
      <c r="V201" s="742"/>
      <c r="W201" s="742"/>
      <c r="X201" s="742"/>
      <c r="Y201" s="742"/>
      <c r="Z201" s="742"/>
      <c r="AA201" s="742"/>
      <c r="AB201" s="742"/>
      <c r="AC201" s="742"/>
      <c r="AD201" s="742"/>
      <c r="AE201" s="742"/>
      <c r="AF201" s="742"/>
      <c r="AG201" s="742"/>
      <c r="AH201" s="742"/>
    </row>
  </sheetData>
  <autoFilter ref="A6:BV198">
    <extLst/>
  </autoFilter>
  <mergeCells count="67">
    <mergeCell ref="A1:L1"/>
    <mergeCell ref="A2:AN2"/>
    <mergeCell ref="A3:B3"/>
    <mergeCell ref="AK3:AM3"/>
    <mergeCell ref="H4:M4"/>
    <mergeCell ref="N4:O4"/>
    <mergeCell ref="R4:T4"/>
    <mergeCell ref="U4:W4"/>
    <mergeCell ref="X4:Z4"/>
    <mergeCell ref="AA4:AC4"/>
    <mergeCell ref="AD4:AH4"/>
    <mergeCell ref="BB4:BD4"/>
    <mergeCell ref="A7:D7"/>
    <mergeCell ref="B8:D8"/>
    <mergeCell ref="B47:D47"/>
    <mergeCell ref="B53:D53"/>
    <mergeCell ref="B74:D74"/>
    <mergeCell ref="B114:D114"/>
    <mergeCell ref="B151:D151"/>
    <mergeCell ref="B161:D161"/>
    <mergeCell ref="B179:D179"/>
    <mergeCell ref="A4:A5"/>
    <mergeCell ref="B4:B5"/>
    <mergeCell ref="C4:C5"/>
    <mergeCell ref="D4:D5"/>
    <mergeCell ref="E4:E5"/>
    <mergeCell ref="F4:F5"/>
    <mergeCell ref="G4:G5"/>
    <mergeCell ref="P4:P5"/>
    <mergeCell ref="Q4:Q5"/>
    <mergeCell ref="AI4:AI5"/>
    <mergeCell ref="AJ4:AJ5"/>
    <mergeCell ref="AK4:AK5"/>
    <mergeCell ref="AL4:AL5"/>
    <mergeCell ref="AM4:AM5"/>
    <mergeCell ref="AN4:AN5"/>
    <mergeCell ref="AO4:AO5"/>
    <mergeCell ref="AP4:AP5"/>
    <mergeCell ref="AQ4:AQ5"/>
    <mergeCell ref="AR4:AR5"/>
    <mergeCell ref="AS4:AS5"/>
    <mergeCell ref="AT4:AT5"/>
    <mergeCell ref="AU4:AU5"/>
    <mergeCell ref="AV4:AV5"/>
    <mergeCell ref="AW4:AW5"/>
    <mergeCell ref="AX4:AX5"/>
    <mergeCell ref="AY4:AY5"/>
    <mergeCell ref="AZ4:AZ5"/>
    <mergeCell ref="BA4:BA5"/>
    <mergeCell ref="BE4:BE5"/>
    <mergeCell ref="BF4:BF5"/>
    <mergeCell ref="BG4:BG5"/>
    <mergeCell ref="BH4:BH5"/>
    <mergeCell ref="BI4:BI5"/>
    <mergeCell ref="BJ4:BJ5"/>
    <mergeCell ref="BK4:BK5"/>
    <mergeCell ref="BL4:BL5"/>
    <mergeCell ref="BM4:BM5"/>
    <mergeCell ref="BN4:BN5"/>
    <mergeCell ref="BO4:BO5"/>
    <mergeCell ref="BP4:BP5"/>
    <mergeCell ref="BQ4:BQ5"/>
    <mergeCell ref="BR4:BR5"/>
    <mergeCell ref="BS4:BS5"/>
    <mergeCell ref="BT4:BT5"/>
    <mergeCell ref="BU4:BU5"/>
    <mergeCell ref="BW4:BW5"/>
  </mergeCells>
  <printOptions horizontalCentered="1"/>
  <pageMargins left="0.2" right="0.2" top="0.509722222222222" bottom="0.55" header="0.509722222222222" footer="0.279861111111111"/>
  <pageSetup paperSize="9" scale="62" firstPageNumber="4294963191" fitToHeight="0" orientation="landscape" blackAndWhite="1" useFirstPageNumber="1"/>
  <headerFooter alignWithMargins="0">
    <oddFooter>&amp;C第 &amp;P 页，共 &amp;N 页</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indexed="9"/>
    <pageSetUpPr fitToPage="1"/>
  </sheetPr>
  <dimension ref="A1:CF131"/>
  <sheetViews>
    <sheetView showZeros="0" zoomScale="70" zoomScaleNormal="70" topLeftCell="A2" workbookViewId="0">
      <pane xSplit="2" ySplit="5" topLeftCell="C58" activePane="bottomRight" state="frozen"/>
      <selection/>
      <selection pane="topRight"/>
      <selection pane="bottomLeft"/>
      <selection pane="bottomRight" activeCell="CA62" sqref="CA62"/>
    </sheetView>
  </sheetViews>
  <sheetFormatPr defaultColWidth="10.2857142857143" defaultRowHeight="12.75"/>
  <cols>
    <col min="1" max="1" width="8.28571428571429" style="530" customWidth="1"/>
    <col min="2" max="2" width="22.4285714285714" style="531" customWidth="1"/>
    <col min="3" max="3" width="5.14285714285714" style="201" customWidth="1"/>
    <col min="4" max="4" width="30.7142857142857" style="532" customWidth="1"/>
    <col min="5" max="5" width="6.42857142857143" style="201" customWidth="1"/>
    <col min="6" max="6" width="14.1428571428571" style="533" customWidth="1"/>
    <col min="7" max="7" width="12.2857142857143" style="533" customWidth="1"/>
    <col min="8" max="8" width="11.1428571428571" style="533" customWidth="1"/>
    <col min="9" max="13" width="12.7142857142857" style="533" customWidth="1"/>
    <col min="14" max="14" width="12.8571428571429" style="534" hidden="1" customWidth="1"/>
    <col min="15" max="15" width="12.8571428571429" style="533" hidden="1" customWidth="1"/>
    <col min="16" max="16" width="25.5714285714286" style="535" hidden="1" customWidth="1"/>
    <col min="17" max="17" width="22.7142857142857" style="535" hidden="1" customWidth="1"/>
    <col min="18" max="18" width="7.14285714285714" style="536" hidden="1" customWidth="1"/>
    <col min="19" max="19" width="7.28571428571429" style="536" hidden="1" customWidth="1"/>
    <col min="20" max="26" width="6.71428571428571" style="536" hidden="1" customWidth="1"/>
    <col min="27" max="28" width="7.14285714285714" style="536" hidden="1" customWidth="1"/>
    <col min="29" max="29" width="6.71428571428571" style="536" hidden="1" customWidth="1"/>
    <col min="30" max="32" width="8.71428571428571" style="536" hidden="1" customWidth="1"/>
    <col min="33" max="33" width="8.57142857142857" style="536" hidden="1" customWidth="1"/>
    <col min="34" max="34" width="8.85714285714286" style="536" hidden="1" customWidth="1"/>
    <col min="35" max="35" width="14.8571428571429" style="536" hidden="1" customWidth="1"/>
    <col min="36" max="36" width="21.4285714285714" style="535" hidden="1" customWidth="1"/>
    <col min="37" max="37" width="16.1428571428571" style="537" customWidth="1"/>
    <col min="38" max="38" width="13.8571428571429" style="538" customWidth="1"/>
    <col min="39" max="39" width="15.7142857142857" style="539" customWidth="1"/>
    <col min="40" max="40" width="17.8571428571429" style="540" hidden="1" customWidth="1"/>
    <col min="41" max="41" width="10.2857142857143" style="530" hidden="1" customWidth="1"/>
    <col min="42" max="42" width="10.2857142857143" style="201" hidden="1" customWidth="1"/>
    <col min="43" max="47" width="10" style="6" hidden="1" customWidth="1"/>
    <col min="48" max="48" width="10.2857142857143" style="201" hidden="1" customWidth="1"/>
    <col min="49" max="49" width="10.2857142857143" style="203" hidden="1" customWidth="1"/>
    <col min="50" max="50" width="10" style="201" hidden="1" customWidth="1"/>
    <col min="51" max="51" width="14" style="201" hidden="1" customWidth="1"/>
    <col min="52" max="53" width="11" style="201" hidden="1" customWidth="1"/>
    <col min="54" max="54" width="9.14285714285714" style="201" hidden="1" customWidth="1"/>
    <col min="55" max="57" width="11" style="201" hidden="1" customWidth="1"/>
    <col min="58" max="58" width="9.14285714285714" style="201" hidden="1" customWidth="1"/>
    <col min="59" max="60" width="10.2857142857143" style="7" hidden="1" customWidth="1"/>
    <col min="61" max="61" width="10.2857142857143" style="204" hidden="1" customWidth="1"/>
    <col min="62" max="62" width="12" style="204" hidden="1" customWidth="1"/>
    <col min="63" max="63" width="10.2857142857143" style="205" hidden="1" customWidth="1"/>
    <col min="64" max="71" width="9.14285714285714" style="201" hidden="1" customWidth="1"/>
    <col min="72" max="72" width="18.7142857142857" style="541" hidden="1" customWidth="1"/>
    <col min="73" max="74" width="10.2857142857143" style="7" hidden="1" customWidth="1"/>
    <col min="75" max="75" width="12.1428571428571" style="206" hidden="1" customWidth="1"/>
    <col min="76" max="76" width="10.7142857142857" style="225" customWidth="1"/>
    <col min="77" max="77" width="7.85714285714286" style="206" customWidth="1"/>
    <col min="78" max="78" width="19.2857142857143" style="206" customWidth="1"/>
    <col min="79" max="79" width="21.8571428571429" style="206" customWidth="1"/>
    <col min="80" max="84" width="10.2857142857143" style="7" customWidth="1"/>
    <col min="85" max="16384" width="10.2857142857143" style="4"/>
  </cols>
  <sheetData>
    <row r="1" ht="32.65" hidden="1" customHeight="1" spans="1:84">
      <c r="A1" s="542"/>
      <c r="B1" s="542"/>
      <c r="C1" s="542"/>
      <c r="D1" s="542"/>
      <c r="E1" s="542"/>
      <c r="F1" s="542"/>
      <c r="G1" s="542"/>
      <c r="H1" s="542"/>
      <c r="I1" s="542"/>
      <c r="J1" s="542"/>
      <c r="K1" s="542"/>
      <c r="L1" s="542"/>
      <c r="M1" s="542"/>
      <c r="N1" s="566"/>
      <c r="O1" s="567"/>
      <c r="P1" s="568"/>
      <c r="Q1" s="537"/>
      <c r="R1" s="583"/>
      <c r="S1" s="583"/>
      <c r="T1" s="583"/>
      <c r="U1" s="583"/>
      <c r="V1" s="583"/>
      <c r="W1" s="583"/>
      <c r="X1" s="583"/>
      <c r="Y1" s="583"/>
      <c r="Z1" s="583"/>
      <c r="AA1" s="583"/>
      <c r="AB1" s="583"/>
      <c r="AC1" s="583"/>
      <c r="AD1" s="583"/>
      <c r="AE1" s="583"/>
      <c r="AF1" s="583"/>
      <c r="AG1" s="583"/>
      <c r="AH1" s="583"/>
      <c r="AI1" s="538"/>
      <c r="AJ1" s="537"/>
      <c r="AL1" s="539"/>
      <c r="AM1" s="6"/>
      <c r="AN1" s="586"/>
      <c r="AO1" s="6"/>
      <c r="AP1" s="6"/>
      <c r="AR1" s="203"/>
      <c r="AS1" s="201"/>
      <c r="AT1" s="201"/>
      <c r="AU1" s="201"/>
      <c r="AW1" s="201"/>
      <c r="AZ1" s="7"/>
      <c r="BD1" s="599"/>
      <c r="BE1" s="599"/>
      <c r="BF1" s="4"/>
      <c r="BG1" s="4"/>
      <c r="BH1" s="4"/>
      <c r="BI1" s="4"/>
      <c r="BJ1" s="4"/>
      <c r="BK1" s="612"/>
      <c r="BL1" s="4"/>
      <c r="BM1" s="4"/>
      <c r="BN1" s="4"/>
      <c r="BO1" s="4"/>
      <c r="BP1" s="4"/>
      <c r="BQ1" s="4"/>
      <c r="BR1" s="4"/>
      <c r="BS1" s="4"/>
      <c r="BT1" s="4"/>
      <c r="BU1" s="4"/>
      <c r="BV1" s="4"/>
      <c r="BW1" s="4"/>
      <c r="BX1" s="4"/>
      <c r="BY1" s="4"/>
      <c r="BZ1" s="4"/>
      <c r="CA1" s="4"/>
      <c r="CB1" s="4"/>
      <c r="CC1" s="4"/>
      <c r="CD1" s="4"/>
      <c r="CE1" s="4"/>
      <c r="CF1" s="4"/>
    </row>
    <row r="2" ht="20.45" customHeight="1" spans="1:72">
      <c r="A2" s="542"/>
      <c r="B2" s="542"/>
      <c r="C2" s="542"/>
      <c r="D2" s="542"/>
      <c r="E2" s="542"/>
      <c r="F2" s="542"/>
      <c r="G2" s="542"/>
      <c r="H2" s="542"/>
      <c r="I2" s="542"/>
      <c r="J2" s="542"/>
      <c r="K2" s="542"/>
      <c r="L2" s="542"/>
      <c r="M2" s="542"/>
      <c r="N2" s="566"/>
      <c r="O2" s="542"/>
      <c r="P2" s="569"/>
      <c r="Q2" s="569"/>
      <c r="R2" s="569"/>
      <c r="S2" s="569"/>
      <c r="T2" s="569"/>
      <c r="U2" s="569"/>
      <c r="V2" s="569"/>
      <c r="W2" s="569"/>
      <c r="X2" s="569"/>
      <c r="Y2" s="569"/>
      <c r="Z2" s="569"/>
      <c r="AA2" s="569"/>
      <c r="AB2" s="569"/>
      <c r="AC2" s="569"/>
      <c r="AD2" s="569"/>
      <c r="AE2" s="569"/>
      <c r="AF2" s="569"/>
      <c r="AG2" s="569"/>
      <c r="AH2" s="569"/>
      <c r="AI2" s="542"/>
      <c r="AJ2" s="568"/>
      <c r="BT2" s="7"/>
    </row>
    <row r="3" ht="55.9" customHeight="1" spans="1:84">
      <c r="A3" s="543" t="s">
        <v>2563</v>
      </c>
      <c r="B3" s="543"/>
      <c r="C3" s="544"/>
      <c r="D3" s="543"/>
      <c r="E3" s="543"/>
      <c r="F3" s="543"/>
      <c r="G3" s="543"/>
      <c r="H3" s="543"/>
      <c r="I3" s="543"/>
      <c r="J3" s="543"/>
      <c r="K3" s="543"/>
      <c r="L3" s="543"/>
      <c r="M3" s="543"/>
      <c r="N3" s="570"/>
      <c r="O3" s="543"/>
      <c r="P3" s="571"/>
      <c r="Q3" s="571"/>
      <c r="R3" s="571"/>
      <c r="S3" s="571"/>
      <c r="T3" s="571"/>
      <c r="U3" s="571"/>
      <c r="V3" s="571"/>
      <c r="W3" s="571"/>
      <c r="X3" s="571"/>
      <c r="Y3" s="571"/>
      <c r="Z3" s="571"/>
      <c r="AA3" s="571"/>
      <c r="AB3" s="571"/>
      <c r="AC3" s="571"/>
      <c r="AD3" s="571"/>
      <c r="AE3" s="571"/>
      <c r="AF3" s="571"/>
      <c r="AG3" s="571"/>
      <c r="AH3" s="571"/>
      <c r="AI3" s="571"/>
      <c r="AJ3" s="571"/>
      <c r="AK3" s="543"/>
      <c r="AL3" s="543"/>
      <c r="AM3" s="543"/>
      <c r="AN3" s="571"/>
      <c r="AO3" s="596"/>
      <c r="AP3" s="571"/>
      <c r="AQ3" s="597"/>
      <c r="AR3" s="598"/>
      <c r="AS3" s="598"/>
      <c r="AT3" s="598"/>
      <c r="AU3" s="598"/>
      <c r="AV3" s="599"/>
      <c r="AW3" s="605"/>
      <c r="AX3" s="599"/>
      <c r="AZ3" s="599"/>
      <c r="BA3" s="599"/>
      <c r="BB3" s="599"/>
      <c r="BC3" s="599"/>
      <c r="BD3" s="599"/>
      <c r="BE3" s="599"/>
      <c r="BF3" s="599"/>
      <c r="BG3" s="4"/>
      <c r="BH3" s="4"/>
      <c r="BI3" s="613"/>
      <c r="BJ3" s="613"/>
      <c r="BK3" s="614"/>
      <c r="BL3" s="599"/>
      <c r="BM3" s="599"/>
      <c r="BN3" s="599"/>
      <c r="BO3" s="599"/>
      <c r="BP3" s="599"/>
      <c r="BQ3" s="599"/>
      <c r="BR3" s="599"/>
      <c r="BS3" s="599"/>
      <c r="BT3" s="4"/>
      <c r="BU3" s="4"/>
      <c r="BV3" s="4"/>
      <c r="BW3" s="620"/>
      <c r="BX3" s="621"/>
      <c r="BY3" s="620"/>
      <c r="BZ3" s="620"/>
      <c r="CA3" s="620"/>
      <c r="CB3" s="4"/>
      <c r="CC3" s="4"/>
      <c r="CD3" s="4"/>
      <c r="CE3" s="4"/>
      <c r="CF3" s="4"/>
    </row>
    <row r="4" s="9" customFormat="1" ht="28.15" customHeight="1" spans="1:79">
      <c r="A4" s="545"/>
      <c r="B4" s="546"/>
      <c r="C4" s="547"/>
      <c r="D4" s="548"/>
      <c r="E4" s="547"/>
      <c r="F4" s="549"/>
      <c r="G4" s="550"/>
      <c r="H4" s="550"/>
      <c r="I4" s="550"/>
      <c r="J4" s="550"/>
      <c r="K4" s="550"/>
      <c r="L4" s="550"/>
      <c r="M4" s="550"/>
      <c r="N4" s="572" t="s">
        <v>2</v>
      </c>
      <c r="O4" s="550" t="s">
        <v>2</v>
      </c>
      <c r="P4" s="573"/>
      <c r="Q4" s="573"/>
      <c r="R4" s="584"/>
      <c r="S4" s="584"/>
      <c r="T4" s="584"/>
      <c r="U4" s="584"/>
      <c r="V4" s="584"/>
      <c r="W4" s="584"/>
      <c r="X4" s="584"/>
      <c r="Y4" s="584"/>
      <c r="Z4" s="584"/>
      <c r="AA4" s="584"/>
      <c r="AB4" s="584"/>
      <c r="AC4" s="584"/>
      <c r="AD4" s="584"/>
      <c r="AE4" s="584"/>
      <c r="AF4" s="584"/>
      <c r="AG4" s="584"/>
      <c r="AH4" s="584"/>
      <c r="AI4" s="572" t="s">
        <v>2</v>
      </c>
      <c r="AJ4" s="573"/>
      <c r="AK4" s="587" t="s">
        <v>3</v>
      </c>
      <c r="AL4" s="587"/>
      <c r="AM4" s="588"/>
      <c r="AN4" s="589"/>
      <c r="AO4" s="529"/>
      <c r="AP4" s="600"/>
      <c r="AQ4" s="10" t="s">
        <v>4</v>
      </c>
      <c r="AR4" s="10"/>
      <c r="AS4" s="10"/>
      <c r="AT4" s="10"/>
      <c r="AU4" s="10"/>
      <c r="AV4" s="600"/>
      <c r="AW4" s="606"/>
      <c r="AX4" s="600"/>
      <c r="AY4" s="201"/>
      <c r="AZ4" s="201"/>
      <c r="BA4" s="201"/>
      <c r="BB4" s="201"/>
      <c r="BC4" s="201"/>
      <c r="BD4" s="201"/>
      <c r="BE4" s="201"/>
      <c r="BF4" s="201"/>
      <c r="BI4" s="615"/>
      <c r="BJ4" s="615"/>
      <c r="BK4" s="616"/>
      <c r="BL4" s="201"/>
      <c r="BM4" s="201"/>
      <c r="BN4" s="201"/>
      <c r="BO4" s="201"/>
      <c r="BP4" s="201"/>
      <c r="BQ4" s="201"/>
      <c r="BR4" s="201"/>
      <c r="BS4" s="201"/>
      <c r="BW4" s="622"/>
      <c r="BX4" s="623"/>
      <c r="BY4" s="622"/>
      <c r="BZ4" s="622"/>
      <c r="CA4" s="622"/>
    </row>
    <row r="5" s="529" customFormat="1" ht="34.9" customHeight="1" spans="1:79">
      <c r="A5" s="551" t="s">
        <v>1695</v>
      </c>
      <c r="B5" s="551" t="s">
        <v>1696</v>
      </c>
      <c r="C5" s="551" t="s">
        <v>1697</v>
      </c>
      <c r="D5" s="551" t="s">
        <v>1698</v>
      </c>
      <c r="E5" s="552" t="s">
        <v>1699</v>
      </c>
      <c r="F5" s="134" t="s">
        <v>1700</v>
      </c>
      <c r="G5" s="265" t="s">
        <v>1701</v>
      </c>
      <c r="H5" s="553" t="s">
        <v>1702</v>
      </c>
      <c r="I5" s="574"/>
      <c r="J5" s="574"/>
      <c r="K5" s="574"/>
      <c r="L5" s="574"/>
      <c r="M5" s="575"/>
      <c r="N5" s="576" t="s">
        <v>13</v>
      </c>
      <c r="O5" s="265"/>
      <c r="P5" s="99" t="s">
        <v>2171</v>
      </c>
      <c r="Q5" s="99" t="s">
        <v>16</v>
      </c>
      <c r="R5" s="330" t="s">
        <v>17</v>
      </c>
      <c r="S5" s="330"/>
      <c r="T5" s="330"/>
      <c r="U5" s="330" t="s">
        <v>18</v>
      </c>
      <c r="V5" s="330"/>
      <c r="W5" s="330"/>
      <c r="X5" s="330" t="s">
        <v>19</v>
      </c>
      <c r="Y5" s="330"/>
      <c r="Z5" s="330"/>
      <c r="AA5" s="330" t="s">
        <v>20</v>
      </c>
      <c r="AB5" s="330"/>
      <c r="AC5" s="330"/>
      <c r="AD5" s="330" t="s">
        <v>21</v>
      </c>
      <c r="AE5" s="330"/>
      <c r="AF5" s="330"/>
      <c r="AG5" s="330"/>
      <c r="AH5" s="330"/>
      <c r="AI5" s="99" t="s">
        <v>22</v>
      </c>
      <c r="AJ5" s="99" t="s">
        <v>23</v>
      </c>
      <c r="AK5" s="145" t="s">
        <v>2172</v>
      </c>
      <c r="AL5" s="145" t="s">
        <v>1873</v>
      </c>
      <c r="AM5" s="145" t="s">
        <v>1704</v>
      </c>
      <c r="AN5" s="145" t="s">
        <v>26</v>
      </c>
      <c r="AO5" s="601"/>
      <c r="AP5" s="601" t="s">
        <v>27</v>
      </c>
      <c r="AQ5" s="601" t="s">
        <v>28</v>
      </c>
      <c r="AR5" s="601" t="s">
        <v>29</v>
      </c>
      <c r="AS5" s="601" t="s">
        <v>30</v>
      </c>
      <c r="AT5" s="601" t="s">
        <v>31</v>
      </c>
      <c r="AU5" s="601" t="s">
        <v>2173</v>
      </c>
      <c r="AV5" s="602" t="s">
        <v>2174</v>
      </c>
      <c r="AW5" s="607" t="s">
        <v>32</v>
      </c>
      <c r="AX5" s="165" t="s">
        <v>33</v>
      </c>
      <c r="AY5" s="157" t="s">
        <v>34</v>
      </c>
      <c r="AZ5" s="608" t="s">
        <v>2175</v>
      </c>
      <c r="BA5" s="608" t="s">
        <v>2176</v>
      </c>
      <c r="BB5" s="608" t="s">
        <v>35</v>
      </c>
      <c r="BC5" s="609" t="s">
        <v>35</v>
      </c>
      <c r="BD5" s="610"/>
      <c r="BE5" s="617"/>
      <c r="BF5" s="608" t="s">
        <v>2564</v>
      </c>
      <c r="BG5" s="608" t="s">
        <v>38</v>
      </c>
      <c r="BH5" s="157" t="s">
        <v>39</v>
      </c>
      <c r="BI5" s="616"/>
      <c r="BJ5" s="616"/>
      <c r="BK5" s="618" t="s">
        <v>2177</v>
      </c>
      <c r="BL5" s="608" t="s">
        <v>2178</v>
      </c>
      <c r="BM5" s="608" t="s">
        <v>2179</v>
      </c>
      <c r="BN5" s="608" t="s">
        <v>2180</v>
      </c>
      <c r="BO5" s="157" t="s">
        <v>1875</v>
      </c>
      <c r="BP5" s="157" t="s">
        <v>1876</v>
      </c>
      <c r="BQ5" s="157" t="s">
        <v>1877</v>
      </c>
      <c r="BR5" s="157" t="s">
        <v>1878</v>
      </c>
      <c r="BS5" s="157" t="s">
        <v>1879</v>
      </c>
      <c r="BT5" s="604" t="s">
        <v>2181</v>
      </c>
      <c r="BU5" s="624" t="s">
        <v>2182</v>
      </c>
      <c r="BV5" s="529" t="s">
        <v>1880</v>
      </c>
      <c r="BW5" s="600" t="s">
        <v>2183</v>
      </c>
      <c r="BX5" s="625"/>
      <c r="BY5" s="600"/>
      <c r="BZ5" s="600"/>
      <c r="CA5" s="600"/>
    </row>
    <row r="6" s="529" customFormat="1" ht="37.5" customHeight="1" spans="1:79">
      <c r="A6" s="551"/>
      <c r="B6" s="551"/>
      <c r="C6" s="551"/>
      <c r="D6" s="551"/>
      <c r="E6" s="552"/>
      <c r="F6" s="134"/>
      <c r="G6" s="265"/>
      <c r="H6" s="265" t="s">
        <v>2565</v>
      </c>
      <c r="I6" s="265" t="s">
        <v>1884</v>
      </c>
      <c r="J6" s="265" t="s">
        <v>1885</v>
      </c>
      <c r="K6" s="265" t="s">
        <v>1886</v>
      </c>
      <c r="L6" s="265" t="s">
        <v>2566</v>
      </c>
      <c r="M6" s="265" t="s">
        <v>1888</v>
      </c>
      <c r="N6" s="576" t="s">
        <v>2185</v>
      </c>
      <c r="O6" s="265" t="s">
        <v>51</v>
      </c>
      <c r="P6" s="99"/>
      <c r="Q6" s="99"/>
      <c r="R6" s="331" t="s">
        <v>59</v>
      </c>
      <c r="S6" s="331" t="s">
        <v>60</v>
      </c>
      <c r="T6" s="331" t="s">
        <v>61</v>
      </c>
      <c r="U6" s="331" t="s">
        <v>62</v>
      </c>
      <c r="V6" s="331" t="s">
        <v>63</v>
      </c>
      <c r="W6" s="331" t="s">
        <v>61</v>
      </c>
      <c r="X6" s="331" t="s">
        <v>64</v>
      </c>
      <c r="Y6" s="331" t="s">
        <v>65</v>
      </c>
      <c r="Z6" s="331" t="s">
        <v>61</v>
      </c>
      <c r="AA6" s="331" t="s">
        <v>66</v>
      </c>
      <c r="AB6" s="331" t="s">
        <v>67</v>
      </c>
      <c r="AC6" s="331" t="s">
        <v>68</v>
      </c>
      <c r="AD6" s="331" t="s">
        <v>69</v>
      </c>
      <c r="AE6" s="331" t="s">
        <v>70</v>
      </c>
      <c r="AF6" s="331" t="s">
        <v>71</v>
      </c>
      <c r="AG6" s="331" t="s">
        <v>72</v>
      </c>
      <c r="AH6" s="331" t="s">
        <v>73</v>
      </c>
      <c r="AI6" s="99"/>
      <c r="AJ6" s="99"/>
      <c r="AK6" s="145"/>
      <c r="AL6" s="145"/>
      <c r="AM6" s="145"/>
      <c r="AN6" s="145"/>
      <c r="AO6" s="601"/>
      <c r="AP6" s="601"/>
      <c r="AQ6" s="601"/>
      <c r="AR6" s="601"/>
      <c r="AS6" s="601"/>
      <c r="AT6" s="601"/>
      <c r="AU6" s="601"/>
      <c r="AV6" s="603"/>
      <c r="AW6" s="607"/>
      <c r="AX6" s="165"/>
      <c r="AY6" s="157"/>
      <c r="AZ6" s="611"/>
      <c r="BA6" s="611"/>
      <c r="BB6" s="611"/>
      <c r="BC6" s="157" t="s">
        <v>74</v>
      </c>
      <c r="BD6" s="157" t="s">
        <v>75</v>
      </c>
      <c r="BE6" s="157"/>
      <c r="BF6" s="611"/>
      <c r="BG6" s="611"/>
      <c r="BH6" s="157"/>
      <c r="BI6" s="600" t="s">
        <v>40</v>
      </c>
      <c r="BJ6" s="600" t="s">
        <v>41</v>
      </c>
      <c r="BK6" s="618"/>
      <c r="BL6" s="611"/>
      <c r="BM6" s="611"/>
      <c r="BN6" s="611"/>
      <c r="BO6" s="157"/>
      <c r="BP6" s="157"/>
      <c r="BQ6" s="157"/>
      <c r="BR6" s="157"/>
      <c r="BS6" s="157"/>
      <c r="BT6" s="604"/>
      <c r="BU6" s="624"/>
      <c r="BW6" s="600"/>
      <c r="BX6" s="625"/>
      <c r="BY6" s="600"/>
      <c r="BZ6" s="600"/>
      <c r="CA6" s="600"/>
    </row>
    <row r="7" s="529" customFormat="1" ht="19.9" customHeight="1" spans="1:79">
      <c r="A7" s="551"/>
      <c r="B7" s="554"/>
      <c r="C7" s="551"/>
      <c r="D7" s="555"/>
      <c r="E7" s="552"/>
      <c r="F7" s="134"/>
      <c r="G7" s="265"/>
      <c r="H7" s="265"/>
      <c r="I7" s="265"/>
      <c r="J7" s="265"/>
      <c r="K7" s="265"/>
      <c r="L7" s="265"/>
      <c r="M7" s="265"/>
      <c r="N7" s="576"/>
      <c r="O7" s="265"/>
      <c r="P7" s="577"/>
      <c r="Q7" s="577"/>
      <c r="R7" s="585"/>
      <c r="S7" s="585"/>
      <c r="T7" s="585"/>
      <c r="U7" s="585"/>
      <c r="V7" s="585"/>
      <c r="W7" s="585"/>
      <c r="X7" s="585"/>
      <c r="Y7" s="585"/>
      <c r="Z7" s="585"/>
      <c r="AA7" s="585"/>
      <c r="AB7" s="585"/>
      <c r="AC7" s="585"/>
      <c r="AD7" s="585"/>
      <c r="AE7" s="585"/>
      <c r="AF7" s="585"/>
      <c r="AG7" s="585"/>
      <c r="AH7" s="585"/>
      <c r="AI7" s="585"/>
      <c r="AJ7" s="577"/>
      <c r="AK7" s="590"/>
      <c r="AL7" s="145"/>
      <c r="AM7" s="145"/>
      <c r="AN7" s="590"/>
      <c r="AO7" s="601"/>
      <c r="AP7" s="604"/>
      <c r="AQ7" s="601"/>
      <c r="AR7" s="601"/>
      <c r="AS7" s="601"/>
      <c r="AT7" s="601"/>
      <c r="AU7" s="601"/>
      <c r="AV7" s="165"/>
      <c r="AW7" s="607"/>
      <c r="AX7" s="165"/>
      <c r="AY7" s="157"/>
      <c r="AZ7" s="157"/>
      <c r="BA7" s="157"/>
      <c r="BB7" s="157"/>
      <c r="BC7" s="157"/>
      <c r="BD7" s="157"/>
      <c r="BE7" s="157"/>
      <c r="BF7" s="157"/>
      <c r="BI7" s="616"/>
      <c r="BJ7" s="616"/>
      <c r="BK7" s="616"/>
      <c r="BL7" s="157"/>
      <c r="BM7" s="157"/>
      <c r="BN7" s="157"/>
      <c r="BO7" s="157"/>
      <c r="BP7" s="157"/>
      <c r="BQ7" s="157"/>
      <c r="BR7" s="157"/>
      <c r="BS7" s="157"/>
      <c r="BT7" s="604"/>
      <c r="BW7" s="600"/>
      <c r="BX7" s="625"/>
      <c r="BY7" s="600"/>
      <c r="BZ7" s="600"/>
      <c r="CA7" s="600"/>
    </row>
    <row r="8" s="9" customFormat="1" ht="34.9" customHeight="1" spans="1:71">
      <c r="A8" s="556" t="str">
        <f>"合计（"&amp;SUBTOTAL(3,C9:C130)&amp;"个）"</f>
        <v>合计（89个）</v>
      </c>
      <c r="B8" s="556"/>
      <c r="C8" s="556"/>
      <c r="D8" s="556"/>
      <c r="E8" s="551"/>
      <c r="F8" s="134">
        <f t="shared" ref="F8:M8" si="0">F9+F48+F42+F58+F85+F106+F112+F123</f>
        <v>2011471.106</v>
      </c>
      <c r="G8" s="134">
        <f t="shared" si="0"/>
        <v>1382235</v>
      </c>
      <c r="H8" s="134"/>
      <c r="I8" s="134">
        <f t="shared" si="0"/>
        <v>150278</v>
      </c>
      <c r="J8" s="134">
        <f t="shared" si="0"/>
        <v>348960</v>
      </c>
      <c r="K8" s="134">
        <f t="shared" si="0"/>
        <v>487265</v>
      </c>
      <c r="L8" s="134">
        <f t="shared" si="0"/>
        <v>625210.086</v>
      </c>
      <c r="M8" s="134">
        <f t="shared" si="0"/>
        <v>286900</v>
      </c>
      <c r="N8" s="133"/>
      <c r="O8" s="134"/>
      <c r="P8" s="244"/>
      <c r="Q8" s="112"/>
      <c r="R8" s="132"/>
      <c r="S8" s="132"/>
      <c r="T8" s="132"/>
      <c r="U8" s="132"/>
      <c r="V8" s="132"/>
      <c r="W8" s="132"/>
      <c r="X8" s="132"/>
      <c r="Y8" s="132"/>
      <c r="Z8" s="132"/>
      <c r="AA8" s="132"/>
      <c r="AB8" s="132"/>
      <c r="AC8" s="132"/>
      <c r="AD8" s="132"/>
      <c r="AE8" s="132"/>
      <c r="AF8" s="132"/>
      <c r="AG8" s="132"/>
      <c r="AH8" s="132"/>
      <c r="AI8" s="90"/>
      <c r="AJ8" s="112"/>
      <c r="AK8" s="591"/>
      <c r="AL8" s="134"/>
      <c r="AM8" s="134"/>
      <c r="AN8" s="91"/>
      <c r="AO8" s="272"/>
      <c r="AP8" s="165"/>
      <c r="AQ8" s="158"/>
      <c r="AR8" s="158"/>
      <c r="AS8" s="158"/>
      <c r="AT8" s="158"/>
      <c r="AU8" s="158"/>
      <c r="AV8" s="165"/>
      <c r="AW8" s="169"/>
      <c r="AX8" s="165"/>
      <c r="AY8" s="165"/>
      <c r="AZ8" s="165"/>
      <c r="BA8" s="165"/>
      <c r="BB8" s="165"/>
      <c r="BC8" s="169"/>
      <c r="BD8" s="169"/>
      <c r="BE8" s="169"/>
      <c r="BF8" s="165"/>
      <c r="BK8" s="529"/>
      <c r="BL8" s="165"/>
      <c r="BM8" s="165"/>
      <c r="BN8" s="165"/>
      <c r="BO8" s="619"/>
      <c r="BP8" s="619"/>
      <c r="BQ8" s="619"/>
      <c r="BR8" s="619"/>
      <c r="BS8" s="619"/>
    </row>
    <row r="9" s="9" customFormat="1" ht="30" customHeight="1" spans="1:71">
      <c r="A9" s="551" t="s">
        <v>76</v>
      </c>
      <c r="B9" s="557" t="str">
        <f>"工业（"&amp;SUBTOTAL(3,C11:C41)&amp;"个）"</f>
        <v>工业（24个）</v>
      </c>
      <c r="C9" s="557"/>
      <c r="D9" s="557"/>
      <c r="E9" s="551"/>
      <c r="F9" s="134">
        <f>F10+F13+F15+F18+F26+F30+F37</f>
        <v>351448</v>
      </c>
      <c r="G9" s="134">
        <f t="shared" ref="G9:M9" si="1">G10+G13+G15+G18+G26+G30+G37</f>
        <v>238166</v>
      </c>
      <c r="H9" s="134"/>
      <c r="I9" s="134">
        <f t="shared" si="1"/>
        <v>32420</v>
      </c>
      <c r="J9" s="134">
        <f t="shared" si="1"/>
        <v>75574</v>
      </c>
      <c r="K9" s="134">
        <f t="shared" si="1"/>
        <v>98384</v>
      </c>
      <c r="L9" s="134">
        <f t="shared" si="1"/>
        <v>113282</v>
      </c>
      <c r="M9" s="134">
        <f t="shared" si="1"/>
        <v>216200</v>
      </c>
      <c r="N9" s="133"/>
      <c r="O9" s="134"/>
      <c r="P9" s="244"/>
      <c r="Q9" s="112"/>
      <c r="R9" s="132"/>
      <c r="S9" s="132"/>
      <c r="T9" s="132"/>
      <c r="U9" s="132"/>
      <c r="V9" s="132"/>
      <c r="W9" s="132"/>
      <c r="X9" s="132"/>
      <c r="Y9" s="132"/>
      <c r="Z9" s="132"/>
      <c r="AA9" s="132"/>
      <c r="AB9" s="132"/>
      <c r="AC9" s="132"/>
      <c r="AD9" s="132"/>
      <c r="AE9" s="132"/>
      <c r="AF9" s="132"/>
      <c r="AG9" s="132"/>
      <c r="AH9" s="132"/>
      <c r="AI9" s="90"/>
      <c r="AJ9" s="112"/>
      <c r="AK9" s="591"/>
      <c r="AL9" s="134"/>
      <c r="AM9" s="134"/>
      <c r="AN9" s="91"/>
      <c r="AO9" s="272"/>
      <c r="AP9" s="165"/>
      <c r="AQ9" s="158"/>
      <c r="AR9" s="158"/>
      <c r="AS9" s="158"/>
      <c r="AT9" s="158"/>
      <c r="AU9" s="158"/>
      <c r="AV9" s="165"/>
      <c r="AW9" s="169"/>
      <c r="AX9" s="165"/>
      <c r="AY9" s="165"/>
      <c r="AZ9" s="165"/>
      <c r="BA9" s="165"/>
      <c r="BB9" s="165"/>
      <c r="BC9" s="169"/>
      <c r="BD9" s="169"/>
      <c r="BE9" s="169"/>
      <c r="BF9" s="165"/>
      <c r="BK9" s="529"/>
      <c r="BL9" s="165"/>
      <c r="BM9" s="165"/>
      <c r="BN9" s="165"/>
      <c r="BO9" s="619"/>
      <c r="BP9" s="619"/>
      <c r="BQ9" s="619"/>
      <c r="BR9" s="619"/>
      <c r="BS9" s="619"/>
    </row>
    <row r="10" s="9" customFormat="1" ht="30" customHeight="1" spans="1:72">
      <c r="A10" s="551"/>
      <c r="B10" s="557" t="str">
        <f>"钦州港（"&amp;SUBTOTAL(3,C11:C12)&amp;"个）"</f>
        <v>钦州港（2个）</v>
      </c>
      <c r="C10" s="551"/>
      <c r="D10" s="555"/>
      <c r="E10" s="551"/>
      <c r="F10" s="134">
        <f t="shared" ref="F10:M10" si="2">SUBTOTAL(9,F11:F12)</f>
        <v>64000</v>
      </c>
      <c r="G10" s="134">
        <f t="shared" si="2"/>
        <v>58911</v>
      </c>
      <c r="H10" s="134"/>
      <c r="I10" s="134">
        <f t="shared" si="2"/>
        <v>2000</v>
      </c>
      <c r="J10" s="134">
        <f t="shared" si="2"/>
        <v>4089</v>
      </c>
      <c r="K10" s="134">
        <f t="shared" si="2"/>
        <v>5089</v>
      </c>
      <c r="L10" s="134">
        <f t="shared" si="2"/>
        <v>5089</v>
      </c>
      <c r="M10" s="134">
        <f t="shared" si="2"/>
        <v>60000</v>
      </c>
      <c r="N10" s="134"/>
      <c r="O10" s="134"/>
      <c r="P10" s="244"/>
      <c r="Q10" s="112"/>
      <c r="R10" s="132"/>
      <c r="S10" s="132"/>
      <c r="T10" s="132"/>
      <c r="U10" s="132"/>
      <c r="V10" s="132"/>
      <c r="W10" s="132"/>
      <c r="X10" s="132"/>
      <c r="Y10" s="132"/>
      <c r="Z10" s="132"/>
      <c r="AA10" s="132"/>
      <c r="AB10" s="132"/>
      <c r="AC10" s="132"/>
      <c r="AD10" s="132"/>
      <c r="AE10" s="132"/>
      <c r="AF10" s="132"/>
      <c r="AG10" s="132"/>
      <c r="AH10" s="132"/>
      <c r="AI10" s="90"/>
      <c r="AJ10" s="112"/>
      <c r="AK10" s="591"/>
      <c r="AL10" s="134"/>
      <c r="AM10" s="134"/>
      <c r="AN10" s="91"/>
      <c r="AO10" s="272"/>
      <c r="AP10" s="165"/>
      <c r="AQ10" s="158"/>
      <c r="AR10" s="158"/>
      <c r="AS10" s="158"/>
      <c r="AT10" s="158"/>
      <c r="AU10" s="158"/>
      <c r="AV10" s="165"/>
      <c r="AW10" s="169"/>
      <c r="AX10" s="165"/>
      <c r="AY10" s="165"/>
      <c r="AZ10" s="165"/>
      <c r="BA10" s="165"/>
      <c r="BB10" s="165"/>
      <c r="BC10" s="169"/>
      <c r="BD10" s="169"/>
      <c r="BE10" s="169"/>
      <c r="BF10" s="165"/>
      <c r="BK10" s="529"/>
      <c r="BL10" s="165"/>
      <c r="BM10" s="165"/>
      <c r="BN10" s="165"/>
      <c r="BO10" s="165"/>
      <c r="BP10" s="165"/>
      <c r="BQ10" s="165"/>
      <c r="BR10" s="165"/>
      <c r="BS10" s="165"/>
      <c r="BT10" s="183"/>
    </row>
    <row r="11" ht="82.5" customHeight="1" spans="1:79">
      <c r="A11" s="23">
        <f>SUBTOTAL(3,C$8:C11)</f>
        <v>1</v>
      </c>
      <c r="B11" s="60" t="s">
        <v>809</v>
      </c>
      <c r="C11" s="59" t="s">
        <v>810</v>
      </c>
      <c r="D11" s="58" t="s">
        <v>811</v>
      </c>
      <c r="E11" s="59" t="s">
        <v>812</v>
      </c>
      <c r="F11" s="59">
        <v>44000</v>
      </c>
      <c r="G11" s="59">
        <v>41911</v>
      </c>
      <c r="H11" s="83" t="s">
        <v>122</v>
      </c>
      <c r="I11" s="578">
        <v>1000</v>
      </c>
      <c r="J11" s="578">
        <v>2089</v>
      </c>
      <c r="K11" s="578">
        <v>2089</v>
      </c>
      <c r="L11" s="59">
        <v>2089</v>
      </c>
      <c r="M11" s="59">
        <v>50000</v>
      </c>
      <c r="N11" s="111"/>
      <c r="O11" s="67"/>
      <c r="P11" s="112" t="s">
        <v>2567</v>
      </c>
      <c r="Q11" s="58" t="s">
        <v>117</v>
      </c>
      <c r="R11" s="251">
        <v>200.1525</v>
      </c>
      <c r="S11" s="251">
        <v>135.2025</v>
      </c>
      <c r="T11" s="251">
        <v>64.9</v>
      </c>
      <c r="U11" s="251">
        <v>71.33</v>
      </c>
      <c r="V11" s="251">
        <v>71.33</v>
      </c>
      <c r="W11" s="251"/>
      <c r="X11" s="251"/>
      <c r="Y11" s="251"/>
      <c r="Z11" s="251"/>
      <c r="AA11" s="251"/>
      <c r="AB11" s="251"/>
      <c r="AC11" s="251"/>
      <c r="AD11" s="251">
        <v>2089</v>
      </c>
      <c r="AE11" s="251"/>
      <c r="AF11" s="251"/>
      <c r="AG11" s="251"/>
      <c r="AH11" s="251">
        <v>2089</v>
      </c>
      <c r="AI11" s="90"/>
      <c r="AJ11" s="112" t="s">
        <v>813</v>
      </c>
      <c r="AK11" s="58" t="s">
        <v>814</v>
      </c>
      <c r="AL11" s="59" t="s">
        <v>2568</v>
      </c>
      <c r="AM11" s="67" t="s">
        <v>119</v>
      </c>
      <c r="AN11" s="91"/>
      <c r="AO11" s="162"/>
      <c r="AP11" s="157"/>
      <c r="AQ11" s="158" t="s">
        <v>90</v>
      </c>
      <c r="AR11" s="158" t="s">
        <v>91</v>
      </c>
      <c r="AS11" s="158" t="str">
        <f t="shared" ref="AS11:AS14" si="3">AR11&amp;AQ11</f>
        <v>工业钦州港</v>
      </c>
      <c r="AT11" s="158" t="str">
        <f t="shared" ref="AT11:AT14" si="4">AR11</f>
        <v>工业</v>
      </c>
      <c r="AU11" s="158"/>
      <c r="AV11" s="157"/>
      <c r="AW11" s="159"/>
      <c r="AX11" s="160"/>
      <c r="AY11" s="157"/>
      <c r="AZ11" s="157"/>
      <c r="BA11" s="157"/>
      <c r="BB11" s="157"/>
      <c r="BC11" s="157"/>
      <c r="BD11" s="157"/>
      <c r="BE11" s="157"/>
      <c r="BF11" s="157"/>
      <c r="BG11" s="7" t="s">
        <v>205</v>
      </c>
      <c r="BH11" s="7" t="s">
        <v>93</v>
      </c>
      <c r="BI11" s="204" t="str">
        <f t="shared" ref="BI11:BI14" si="5">BG11&amp;AM11</f>
        <v>政府钦州港区管委</v>
      </c>
      <c r="BJ11" s="204" t="str">
        <f t="shared" ref="BJ11:BJ14" si="6">BH11&amp;AM11</f>
        <v>产业钦州港区管委</v>
      </c>
      <c r="BK11" s="205">
        <f t="shared" ref="BK11:BK14" si="7">IF(N11&gt;0,1,0)</f>
        <v>0</v>
      </c>
      <c r="BL11" s="157" t="str">
        <f t="shared" ref="BL11:BL14" si="8">IF(L11&lt;1000,"",AS11&amp;"1000")</f>
        <v>工业钦州港1000</v>
      </c>
      <c r="BM11" s="157" t="str">
        <f t="shared" ref="BM11:BM14" si="9">IF(L11&lt;2000,"",AS11&amp;"2000")</f>
        <v>工业钦州港2000</v>
      </c>
      <c r="BN11" s="157" t="str">
        <f t="shared" ref="BN11:BN14" si="10">IF(L11&lt;5000,"",AS11&amp;"5000")</f>
        <v/>
      </c>
      <c r="BO11" s="157">
        <f t="shared" ref="BO11:BO14" si="11">IF(R11&gt;0,1,0)</f>
        <v>1</v>
      </c>
      <c r="BP11" s="157">
        <f t="shared" ref="BP11:BP14" si="12">IF(X11&gt;0,1,0)</f>
        <v>0</v>
      </c>
      <c r="BQ11" s="157">
        <f t="shared" ref="BQ11:BQ14" si="13">IF(U11&gt;0,1,0)</f>
        <v>1</v>
      </c>
      <c r="BR11" s="157">
        <f t="shared" ref="BR11:BR14" si="14">IF(AA11&gt;0,1,0)</f>
        <v>0</v>
      </c>
      <c r="BS11" s="157">
        <f t="shared" ref="BS11:BS14" si="15">IF(AD11&gt;0,1,0)</f>
        <v>1</v>
      </c>
      <c r="BT11" s="181"/>
      <c r="BU11" s="206"/>
      <c r="BW11" s="7"/>
      <c r="BX11" s="7"/>
      <c r="BY11" s="7"/>
      <c r="BZ11" s="7"/>
      <c r="CA11" s="7"/>
    </row>
    <row r="12" ht="82.5" customHeight="1" spans="1:79">
      <c r="A12" s="23">
        <f>SUBTOTAL(3,C$8:C12)</f>
        <v>2</v>
      </c>
      <c r="B12" s="55" t="s">
        <v>815</v>
      </c>
      <c r="C12" s="59" t="s">
        <v>810</v>
      </c>
      <c r="D12" s="34" t="s">
        <v>816</v>
      </c>
      <c r="E12" s="35" t="s">
        <v>812</v>
      </c>
      <c r="F12" s="36">
        <v>20000</v>
      </c>
      <c r="G12" s="36">
        <v>17000</v>
      </c>
      <c r="H12" s="81" t="s">
        <v>113</v>
      </c>
      <c r="I12" s="37">
        <v>1000</v>
      </c>
      <c r="J12" s="37">
        <v>2000</v>
      </c>
      <c r="K12" s="37">
        <v>3000</v>
      </c>
      <c r="L12" s="36">
        <v>3000</v>
      </c>
      <c r="M12" s="36">
        <v>10000</v>
      </c>
      <c r="N12" s="134"/>
      <c r="O12" s="134"/>
      <c r="P12" s="112" t="s">
        <v>2569</v>
      </c>
      <c r="Q12" s="112" t="s">
        <v>817</v>
      </c>
      <c r="R12" s="132"/>
      <c r="S12" s="132"/>
      <c r="T12" s="132"/>
      <c r="U12" s="132"/>
      <c r="V12" s="132"/>
      <c r="W12" s="132"/>
      <c r="X12" s="132"/>
      <c r="Y12" s="132"/>
      <c r="Z12" s="132"/>
      <c r="AA12" s="132"/>
      <c r="AB12" s="132"/>
      <c r="AC12" s="132"/>
      <c r="AD12" s="132">
        <v>10000</v>
      </c>
      <c r="AE12" s="132"/>
      <c r="AF12" s="132"/>
      <c r="AG12" s="132"/>
      <c r="AH12" s="132">
        <v>10000</v>
      </c>
      <c r="AI12" s="90"/>
      <c r="AJ12" s="112" t="s">
        <v>817</v>
      </c>
      <c r="AK12" s="34" t="s">
        <v>818</v>
      </c>
      <c r="AL12" s="35" t="s">
        <v>2570</v>
      </c>
      <c r="AM12" s="67" t="s">
        <v>119</v>
      </c>
      <c r="AN12" s="91" t="s">
        <v>819</v>
      </c>
      <c r="AO12" s="162"/>
      <c r="AP12" s="157"/>
      <c r="AQ12" s="158" t="s">
        <v>90</v>
      </c>
      <c r="AR12" s="158" t="s">
        <v>91</v>
      </c>
      <c r="AS12" s="158" t="str">
        <f t="shared" si="3"/>
        <v>工业钦州港</v>
      </c>
      <c r="AT12" s="158" t="str">
        <f t="shared" si="4"/>
        <v>工业</v>
      </c>
      <c r="AU12" s="158"/>
      <c r="AV12" s="157"/>
      <c r="AW12" s="159"/>
      <c r="AX12" s="160"/>
      <c r="AY12" s="157"/>
      <c r="AZ12" s="157"/>
      <c r="BA12" s="157"/>
      <c r="BB12" s="157"/>
      <c r="BC12" s="157"/>
      <c r="BD12" s="157"/>
      <c r="BE12" s="157"/>
      <c r="BF12" s="157"/>
      <c r="BG12" s="7" t="s">
        <v>205</v>
      </c>
      <c r="BH12" s="7" t="s">
        <v>93</v>
      </c>
      <c r="BI12" s="204" t="str">
        <f t="shared" si="5"/>
        <v>政府钦州港区管委</v>
      </c>
      <c r="BJ12" s="204" t="str">
        <f t="shared" si="6"/>
        <v>产业钦州港区管委</v>
      </c>
      <c r="BK12" s="205">
        <f t="shared" si="7"/>
        <v>0</v>
      </c>
      <c r="BL12" s="157" t="str">
        <f t="shared" si="8"/>
        <v>工业钦州港1000</v>
      </c>
      <c r="BM12" s="157" t="str">
        <f t="shared" si="9"/>
        <v>工业钦州港2000</v>
      </c>
      <c r="BN12" s="157" t="str">
        <f t="shared" si="10"/>
        <v/>
      </c>
      <c r="BO12" s="157">
        <f t="shared" si="11"/>
        <v>0</v>
      </c>
      <c r="BP12" s="157">
        <f t="shared" si="12"/>
        <v>0</v>
      </c>
      <c r="BQ12" s="157">
        <f t="shared" si="13"/>
        <v>0</v>
      </c>
      <c r="BR12" s="157">
        <f t="shared" si="14"/>
        <v>0</v>
      </c>
      <c r="BS12" s="157">
        <f t="shared" si="15"/>
        <v>1</v>
      </c>
      <c r="BT12" s="181"/>
      <c r="BU12" s="206"/>
      <c r="BW12" s="7"/>
      <c r="BX12" s="7"/>
      <c r="BY12" s="7"/>
      <c r="BZ12" s="7"/>
      <c r="CA12" s="7"/>
    </row>
    <row r="13" s="9" customFormat="1" ht="30" customHeight="1" spans="1:77">
      <c r="A13" s="551"/>
      <c r="B13" s="557" t="str">
        <f>"保税港（"&amp;SUBTOTAL(3,C14)&amp;"个）"</f>
        <v>保税港（1个）</v>
      </c>
      <c r="C13" s="551"/>
      <c r="D13" s="555"/>
      <c r="E13" s="551"/>
      <c r="F13" s="134">
        <f>SUBTOTAL(9,F14)</f>
        <v>5000</v>
      </c>
      <c r="G13" s="134">
        <f t="shared" ref="G13:M13" si="16">SUBTOTAL(9,G14)</f>
        <v>1000</v>
      </c>
      <c r="H13" s="134"/>
      <c r="I13" s="134">
        <f t="shared" si="16"/>
        <v>1000</v>
      </c>
      <c r="J13" s="134">
        <f t="shared" si="16"/>
        <v>4000</v>
      </c>
      <c r="K13" s="134">
        <f t="shared" si="16"/>
        <v>4000</v>
      </c>
      <c r="L13" s="134">
        <f t="shared" si="16"/>
        <v>4000</v>
      </c>
      <c r="M13" s="134">
        <f t="shared" si="16"/>
        <v>3000</v>
      </c>
      <c r="N13" s="134"/>
      <c r="O13" s="134"/>
      <c r="P13" s="244"/>
      <c r="Q13" s="112"/>
      <c r="R13" s="132"/>
      <c r="S13" s="132"/>
      <c r="T13" s="132"/>
      <c r="U13" s="132"/>
      <c r="V13" s="132"/>
      <c r="W13" s="132"/>
      <c r="X13" s="132"/>
      <c r="Y13" s="132"/>
      <c r="Z13" s="132"/>
      <c r="AA13" s="132"/>
      <c r="AB13" s="132"/>
      <c r="AC13" s="132"/>
      <c r="AD13" s="132"/>
      <c r="AE13" s="132"/>
      <c r="AF13" s="132"/>
      <c r="AG13" s="132"/>
      <c r="AH13" s="132"/>
      <c r="AI13" s="90"/>
      <c r="AJ13" s="112"/>
      <c r="AK13" s="591"/>
      <c r="AL13" s="134"/>
      <c r="AM13" s="134"/>
      <c r="AN13" s="91"/>
      <c r="AO13" s="272"/>
      <c r="AP13" s="165"/>
      <c r="AQ13" s="158"/>
      <c r="AR13" s="158"/>
      <c r="AS13" s="158"/>
      <c r="AT13" s="158"/>
      <c r="AU13" s="158"/>
      <c r="AV13" s="165"/>
      <c r="AW13" s="169"/>
      <c r="AX13" s="165"/>
      <c r="AY13" s="165"/>
      <c r="AZ13" s="165"/>
      <c r="BA13" s="165"/>
      <c r="BB13" s="165"/>
      <c r="BC13" s="169"/>
      <c r="BD13" s="169"/>
      <c r="BE13" s="169"/>
      <c r="BF13" s="165"/>
      <c r="BK13" s="529"/>
      <c r="BL13" s="165"/>
      <c r="BM13" s="165"/>
      <c r="BN13" s="165"/>
      <c r="BO13" s="165"/>
      <c r="BP13" s="165"/>
      <c r="BQ13" s="165"/>
      <c r="BR13" s="165"/>
      <c r="BS13" s="165"/>
      <c r="BT13" s="183"/>
      <c r="BY13" s="7"/>
    </row>
    <row r="14" ht="84" customHeight="1" spans="1:79">
      <c r="A14" s="23">
        <f>SUBTOTAL(3,C$8:C14)</f>
        <v>3</v>
      </c>
      <c r="B14" s="60" t="s">
        <v>820</v>
      </c>
      <c r="C14" s="558" t="s">
        <v>810</v>
      </c>
      <c r="D14" s="88" t="s">
        <v>821</v>
      </c>
      <c r="E14" s="23" t="s">
        <v>812</v>
      </c>
      <c r="F14" s="67">
        <v>5000</v>
      </c>
      <c r="G14" s="38">
        <v>1000</v>
      </c>
      <c r="H14" s="81" t="s">
        <v>144</v>
      </c>
      <c r="I14" s="36">
        <v>1000</v>
      </c>
      <c r="J14" s="36">
        <v>4000</v>
      </c>
      <c r="K14" s="36">
        <v>4000</v>
      </c>
      <c r="L14" s="38">
        <v>4000</v>
      </c>
      <c r="M14" s="57">
        <v>3000</v>
      </c>
      <c r="N14" s="36"/>
      <c r="O14" s="76"/>
      <c r="P14" s="579"/>
      <c r="Q14" s="579"/>
      <c r="R14" s="134"/>
      <c r="S14" s="134"/>
      <c r="T14" s="134"/>
      <c r="U14" s="134"/>
      <c r="V14" s="134"/>
      <c r="W14" s="134"/>
      <c r="X14" s="134"/>
      <c r="Y14" s="134"/>
      <c r="Z14" s="134"/>
      <c r="AA14" s="134"/>
      <c r="AB14" s="134"/>
      <c r="AC14" s="134"/>
      <c r="AD14" s="134"/>
      <c r="AE14" s="134"/>
      <c r="AF14" s="134"/>
      <c r="AG14" s="134">
        <v>4000</v>
      </c>
      <c r="AH14" s="134"/>
      <c r="AI14" s="90"/>
      <c r="AJ14" s="579" t="s">
        <v>117</v>
      </c>
      <c r="AK14" s="123" t="s">
        <v>824</v>
      </c>
      <c r="AL14" s="67" t="s">
        <v>2571</v>
      </c>
      <c r="AM14" s="67" t="s">
        <v>166</v>
      </c>
      <c r="AN14" s="91"/>
      <c r="AO14" s="162"/>
      <c r="AP14" s="157"/>
      <c r="AQ14" s="158" t="s">
        <v>167</v>
      </c>
      <c r="AR14" s="158" t="s">
        <v>91</v>
      </c>
      <c r="AS14" s="158" t="str">
        <f t="shared" si="3"/>
        <v>工业保税港</v>
      </c>
      <c r="AT14" s="158" t="str">
        <f t="shared" si="4"/>
        <v>工业</v>
      </c>
      <c r="AU14" s="158"/>
      <c r="AV14" s="157"/>
      <c r="AW14" s="159"/>
      <c r="AX14" s="160"/>
      <c r="AY14" s="157"/>
      <c r="AZ14" s="157"/>
      <c r="BA14" s="157"/>
      <c r="BB14" s="157"/>
      <c r="BC14" s="157"/>
      <c r="BD14" s="157"/>
      <c r="BE14" s="157"/>
      <c r="BF14" s="157"/>
      <c r="BG14" s="7" t="s">
        <v>205</v>
      </c>
      <c r="BH14" s="7" t="s">
        <v>93</v>
      </c>
      <c r="BI14" s="204" t="str">
        <f t="shared" si="5"/>
        <v>政府钦州保税港区管委</v>
      </c>
      <c r="BJ14" s="204" t="str">
        <f t="shared" si="6"/>
        <v>产业钦州保税港区管委</v>
      </c>
      <c r="BK14" s="205">
        <f t="shared" si="7"/>
        <v>0</v>
      </c>
      <c r="BL14" s="157" t="str">
        <f t="shared" si="8"/>
        <v>工业保税港1000</v>
      </c>
      <c r="BM14" s="157" t="str">
        <f t="shared" si="9"/>
        <v>工业保税港2000</v>
      </c>
      <c r="BN14" s="157" t="str">
        <f t="shared" si="10"/>
        <v/>
      </c>
      <c r="BO14" s="157">
        <f t="shared" si="11"/>
        <v>0</v>
      </c>
      <c r="BP14" s="157">
        <f t="shared" si="12"/>
        <v>0</v>
      </c>
      <c r="BQ14" s="157">
        <f t="shared" si="13"/>
        <v>0</v>
      </c>
      <c r="BR14" s="157">
        <f t="shared" si="14"/>
        <v>0</v>
      </c>
      <c r="BS14" s="157">
        <f t="shared" si="15"/>
        <v>0</v>
      </c>
      <c r="BT14" s="181"/>
      <c r="BU14" s="206"/>
      <c r="BW14" s="7"/>
      <c r="BX14" s="7"/>
      <c r="BY14" s="7"/>
      <c r="BZ14" s="7"/>
      <c r="CA14" s="7"/>
    </row>
    <row r="15" s="9" customFormat="1" ht="30" customHeight="1" spans="1:77">
      <c r="A15" s="551"/>
      <c r="B15" s="557" t="str">
        <f>"中马园（"&amp;SUBTOTAL(3,C16:C17)&amp;"个）"</f>
        <v>中马园（2个）</v>
      </c>
      <c r="C15" s="551"/>
      <c r="D15" s="555"/>
      <c r="E15" s="551"/>
      <c r="F15" s="134">
        <f t="shared" ref="F15:M15" si="17">SUBTOTAL(9,F16:F17)</f>
        <v>92320</v>
      </c>
      <c r="G15" s="134">
        <f t="shared" si="17"/>
        <v>82920</v>
      </c>
      <c r="H15" s="134"/>
      <c r="I15" s="134">
        <f t="shared" si="17"/>
        <v>1100</v>
      </c>
      <c r="J15" s="134">
        <f t="shared" si="17"/>
        <v>3870</v>
      </c>
      <c r="K15" s="134">
        <f t="shared" si="17"/>
        <v>6540</v>
      </c>
      <c r="L15" s="134">
        <f t="shared" si="17"/>
        <v>9400</v>
      </c>
      <c r="M15" s="134">
        <f t="shared" si="17"/>
        <v>44000</v>
      </c>
      <c r="N15" s="134"/>
      <c r="O15" s="134"/>
      <c r="P15" s="244"/>
      <c r="Q15" s="112"/>
      <c r="R15" s="132"/>
      <c r="S15" s="132"/>
      <c r="T15" s="132"/>
      <c r="U15" s="132"/>
      <c r="V15" s="132"/>
      <c r="W15" s="132"/>
      <c r="X15" s="132"/>
      <c r="Y15" s="132"/>
      <c r="Z15" s="132"/>
      <c r="AA15" s="132"/>
      <c r="AB15" s="132"/>
      <c r="AC15" s="132"/>
      <c r="AD15" s="132"/>
      <c r="AE15" s="132"/>
      <c r="AF15" s="132"/>
      <c r="AG15" s="132"/>
      <c r="AH15" s="132"/>
      <c r="AI15" s="90"/>
      <c r="AJ15" s="112"/>
      <c r="AK15" s="591"/>
      <c r="AL15" s="134"/>
      <c r="AM15" s="134"/>
      <c r="AN15" s="91"/>
      <c r="AO15" s="272"/>
      <c r="AP15" s="165"/>
      <c r="AQ15" s="158"/>
      <c r="AR15" s="158"/>
      <c r="AS15" s="158"/>
      <c r="AT15" s="158"/>
      <c r="AU15" s="158"/>
      <c r="AV15" s="165"/>
      <c r="AW15" s="169"/>
      <c r="AX15" s="165"/>
      <c r="AY15" s="165"/>
      <c r="AZ15" s="165"/>
      <c r="BA15" s="165"/>
      <c r="BB15" s="165"/>
      <c r="BC15" s="169"/>
      <c r="BD15" s="169"/>
      <c r="BE15" s="169"/>
      <c r="BF15" s="165"/>
      <c r="BK15" s="529"/>
      <c r="BL15" s="165"/>
      <c r="BM15" s="165"/>
      <c r="BN15" s="165"/>
      <c r="BO15" s="165"/>
      <c r="BP15" s="165"/>
      <c r="BQ15" s="165"/>
      <c r="BR15" s="165"/>
      <c r="BS15" s="165"/>
      <c r="BT15" s="183"/>
      <c r="BY15" s="7"/>
    </row>
    <row r="16" ht="84" customHeight="1" spans="1:79">
      <c r="A16" s="23">
        <f>SUBTOTAL(3,C$8:C16)</f>
        <v>4</v>
      </c>
      <c r="B16" s="93" t="s">
        <v>825</v>
      </c>
      <c r="C16" s="92" t="s">
        <v>810</v>
      </c>
      <c r="D16" s="91" t="s">
        <v>826</v>
      </c>
      <c r="E16" s="92" t="s">
        <v>827</v>
      </c>
      <c r="F16" s="67">
        <v>62320</v>
      </c>
      <c r="G16" s="67">
        <v>55920</v>
      </c>
      <c r="H16" s="81" t="s">
        <v>283</v>
      </c>
      <c r="I16" s="37">
        <v>1000</v>
      </c>
      <c r="J16" s="37">
        <v>2900</v>
      </c>
      <c r="K16" s="37">
        <v>4700</v>
      </c>
      <c r="L16" s="67">
        <v>6400</v>
      </c>
      <c r="M16" s="67">
        <v>1000</v>
      </c>
      <c r="N16" s="36"/>
      <c r="O16" s="76"/>
      <c r="P16" s="579" t="s">
        <v>2572</v>
      </c>
      <c r="Q16" s="579" t="s">
        <v>2573</v>
      </c>
      <c r="R16" s="134">
        <v>80.2</v>
      </c>
      <c r="S16" s="134">
        <v>80</v>
      </c>
      <c r="T16" s="134"/>
      <c r="U16" s="134"/>
      <c r="V16" s="134"/>
      <c r="W16" s="134"/>
      <c r="X16" s="134"/>
      <c r="Y16" s="134"/>
      <c r="Z16" s="134"/>
      <c r="AA16" s="134"/>
      <c r="AB16" s="134"/>
      <c r="AC16" s="134"/>
      <c r="AD16" s="134">
        <v>16400</v>
      </c>
      <c r="AE16" s="134"/>
      <c r="AF16" s="134"/>
      <c r="AG16" s="134"/>
      <c r="AH16" s="134">
        <v>16400</v>
      </c>
      <c r="AI16" s="90"/>
      <c r="AJ16" s="579" t="s">
        <v>828</v>
      </c>
      <c r="AK16" s="123" t="s">
        <v>591</v>
      </c>
      <c r="AL16" s="67" t="s">
        <v>2075</v>
      </c>
      <c r="AM16" s="92" t="s">
        <v>185</v>
      </c>
      <c r="AN16" s="91" t="s">
        <v>829</v>
      </c>
      <c r="AO16" s="162"/>
      <c r="AP16" s="157"/>
      <c r="AQ16" s="158" t="s">
        <v>186</v>
      </c>
      <c r="AR16" s="158" t="s">
        <v>91</v>
      </c>
      <c r="AS16" s="158" t="str">
        <f>AR16&amp;AQ16</f>
        <v>工业中马园</v>
      </c>
      <c r="AT16" s="158" t="str">
        <f>AR16</f>
        <v>工业</v>
      </c>
      <c r="AU16" s="158"/>
      <c r="AV16" s="157"/>
      <c r="AW16" s="159"/>
      <c r="AX16" s="160"/>
      <c r="AY16" s="157"/>
      <c r="AZ16" s="157"/>
      <c r="BA16" s="157"/>
      <c r="BB16" s="157"/>
      <c r="BC16" s="157"/>
      <c r="BD16" s="157"/>
      <c r="BE16" s="157"/>
      <c r="BF16" s="157"/>
      <c r="BG16" s="7" t="s">
        <v>205</v>
      </c>
      <c r="BH16" s="7" t="s">
        <v>93</v>
      </c>
      <c r="BI16" s="204" t="str">
        <f>BG16&amp;AM16</f>
        <v>政府中马钦州产业园区管委</v>
      </c>
      <c r="BJ16" s="204" t="str">
        <f>BH16&amp;AM16</f>
        <v>产业中马钦州产业园区管委</v>
      </c>
      <c r="BK16" s="205">
        <f t="shared" ref="BK16:BK21" si="18">IF(N16&gt;0,1,0)</f>
        <v>0</v>
      </c>
      <c r="BL16" s="157" t="str">
        <f t="shared" ref="BL16:BL21" si="19">IF(L16&lt;1000,"",AS16&amp;"1000")</f>
        <v>工业中马园1000</v>
      </c>
      <c r="BM16" s="157" t="str">
        <f t="shared" ref="BM16:BM21" si="20">IF(L16&lt;2000,"",AS16&amp;"2000")</f>
        <v>工业中马园2000</v>
      </c>
      <c r="BN16" s="157" t="str">
        <f t="shared" ref="BN16:BN21" si="21">IF(L16&lt;5000,"",AS16&amp;"5000")</f>
        <v>工业中马园5000</v>
      </c>
      <c r="BO16" s="157">
        <f>IF(R16&gt;0,1,0)</f>
        <v>1</v>
      </c>
      <c r="BP16" s="157">
        <f>IF(X16&gt;0,1,0)</f>
        <v>0</v>
      </c>
      <c r="BQ16" s="157">
        <f>IF(U16&gt;0,1,0)</f>
        <v>0</v>
      </c>
      <c r="BR16" s="157">
        <f>IF(AA16&gt;0,1,0)</f>
        <v>0</v>
      </c>
      <c r="BS16" s="157">
        <f>IF(AD16&gt;0,1,0)</f>
        <v>1</v>
      </c>
      <c r="BT16" s="181"/>
      <c r="BU16" s="206"/>
      <c r="BW16" s="7"/>
      <c r="BX16" s="7"/>
      <c r="BY16" s="7"/>
      <c r="BZ16" s="7"/>
      <c r="CA16" s="7"/>
    </row>
    <row r="17" ht="84" customHeight="1" spans="1:79">
      <c r="A17" s="23">
        <f>SUBTOTAL(3,C$8:C17)</f>
        <v>5</v>
      </c>
      <c r="B17" s="55" t="s">
        <v>830</v>
      </c>
      <c r="C17" s="92" t="s">
        <v>810</v>
      </c>
      <c r="D17" s="58" t="s">
        <v>831</v>
      </c>
      <c r="E17" s="59" t="s">
        <v>832</v>
      </c>
      <c r="F17" s="36">
        <v>30000</v>
      </c>
      <c r="G17" s="36">
        <v>27000</v>
      </c>
      <c r="H17" s="81" t="s">
        <v>82</v>
      </c>
      <c r="I17" s="37">
        <v>100</v>
      </c>
      <c r="J17" s="37">
        <v>970</v>
      </c>
      <c r="K17" s="37">
        <v>1840</v>
      </c>
      <c r="L17" s="36">
        <v>3000</v>
      </c>
      <c r="M17" s="36">
        <v>43000</v>
      </c>
      <c r="N17" s="36"/>
      <c r="O17" s="76"/>
      <c r="P17" s="112" t="s">
        <v>2574</v>
      </c>
      <c r="Q17" s="112" t="s">
        <v>117</v>
      </c>
      <c r="R17" s="132"/>
      <c r="S17" s="132"/>
      <c r="T17" s="132"/>
      <c r="U17" s="132"/>
      <c r="V17" s="132"/>
      <c r="W17" s="132"/>
      <c r="X17" s="132"/>
      <c r="Y17" s="132"/>
      <c r="Z17" s="132"/>
      <c r="AA17" s="132"/>
      <c r="AB17" s="132"/>
      <c r="AC17" s="132"/>
      <c r="AD17" s="132">
        <v>3000</v>
      </c>
      <c r="AE17" s="132"/>
      <c r="AF17" s="132"/>
      <c r="AG17" s="132">
        <v>3000</v>
      </c>
      <c r="AH17" s="132"/>
      <c r="AI17" s="90"/>
      <c r="AJ17" s="112" t="s">
        <v>117</v>
      </c>
      <c r="AK17" s="34" t="s">
        <v>600</v>
      </c>
      <c r="AL17" s="35" t="s">
        <v>2207</v>
      </c>
      <c r="AM17" s="35" t="s">
        <v>185</v>
      </c>
      <c r="AN17" s="91"/>
      <c r="AO17" s="162"/>
      <c r="AP17" s="157"/>
      <c r="AQ17" s="158" t="s">
        <v>186</v>
      </c>
      <c r="AR17" s="158" t="s">
        <v>91</v>
      </c>
      <c r="AS17" s="158" t="str">
        <f>AR17&amp;AQ17</f>
        <v>工业中马园</v>
      </c>
      <c r="AT17" s="158" t="str">
        <f>AR17</f>
        <v>工业</v>
      </c>
      <c r="AU17" s="158"/>
      <c r="AV17" s="157"/>
      <c r="AW17" s="159"/>
      <c r="AX17" s="160"/>
      <c r="AY17" s="157"/>
      <c r="AZ17" s="157"/>
      <c r="BA17" s="157"/>
      <c r="BB17" s="157"/>
      <c r="BC17" s="157"/>
      <c r="BD17" s="157"/>
      <c r="BE17" s="157"/>
      <c r="BF17" s="157"/>
      <c r="BG17" s="7" t="s">
        <v>92</v>
      </c>
      <c r="BH17" s="7" t="s">
        <v>93</v>
      </c>
      <c r="BI17" s="204" t="str">
        <f>BG17&amp;AM17</f>
        <v>企业中马钦州产业园区管委</v>
      </c>
      <c r="BJ17" s="204" t="str">
        <f>BH17&amp;AM17</f>
        <v>产业中马钦州产业园区管委</v>
      </c>
      <c r="BK17" s="205">
        <f t="shared" si="18"/>
        <v>0</v>
      </c>
      <c r="BL17" s="157" t="str">
        <f t="shared" si="19"/>
        <v>工业中马园1000</v>
      </c>
      <c r="BM17" s="157" t="str">
        <f t="shared" si="20"/>
        <v>工业中马园2000</v>
      </c>
      <c r="BN17" s="157" t="str">
        <f t="shared" si="21"/>
        <v/>
      </c>
      <c r="BO17" s="157">
        <f>IF(R17&gt;0,1,0)</f>
        <v>0</v>
      </c>
      <c r="BP17" s="157">
        <f>IF(X17&gt;0,1,0)</f>
        <v>0</v>
      </c>
      <c r="BQ17" s="157">
        <f>IF(U17&gt;0,1,0)</f>
        <v>0</v>
      </c>
      <c r="BR17" s="157">
        <f>IF(AA17&gt;0,1,0)</f>
        <v>0</v>
      </c>
      <c r="BS17" s="157">
        <f>IF(AD17&gt;0,1,0)</f>
        <v>1</v>
      </c>
      <c r="BT17" s="181"/>
      <c r="BU17" s="206"/>
      <c r="BW17" s="7"/>
      <c r="BX17" s="7"/>
      <c r="BY17" s="7"/>
      <c r="BZ17" s="7"/>
      <c r="CA17" s="7"/>
    </row>
    <row r="18" s="9" customFormat="1" ht="30" customHeight="1" spans="1:77">
      <c r="A18" s="551"/>
      <c r="B18" s="557" t="str">
        <f>"高新区（"&amp;SUBTOTAL(3,C19:C25)&amp;"个）"</f>
        <v>高新区（7个）</v>
      </c>
      <c r="C18" s="551"/>
      <c r="D18" s="555"/>
      <c r="E18" s="551"/>
      <c r="F18" s="134">
        <f>SUBTOTAL(9,F19:F25)</f>
        <v>91800</v>
      </c>
      <c r="G18" s="134">
        <f t="shared" ref="G18:M18" si="22">SUBTOTAL(9,G19:G25)</f>
        <v>44300</v>
      </c>
      <c r="H18" s="134"/>
      <c r="I18" s="134">
        <f t="shared" si="22"/>
        <v>11600</v>
      </c>
      <c r="J18" s="134">
        <f t="shared" si="22"/>
        <v>32400</v>
      </c>
      <c r="K18" s="134">
        <f t="shared" si="22"/>
        <v>43300</v>
      </c>
      <c r="L18" s="134">
        <f t="shared" si="22"/>
        <v>47500</v>
      </c>
      <c r="M18" s="134">
        <f t="shared" si="22"/>
        <v>25000</v>
      </c>
      <c r="N18" s="134"/>
      <c r="O18" s="134"/>
      <c r="P18" s="244"/>
      <c r="Q18" s="112"/>
      <c r="R18" s="132"/>
      <c r="S18" s="132"/>
      <c r="T18" s="132"/>
      <c r="U18" s="132"/>
      <c r="V18" s="132"/>
      <c r="W18" s="132"/>
      <c r="X18" s="132"/>
      <c r="Y18" s="132"/>
      <c r="Z18" s="132"/>
      <c r="AA18" s="132"/>
      <c r="AB18" s="132"/>
      <c r="AC18" s="132"/>
      <c r="AD18" s="132"/>
      <c r="AE18" s="132"/>
      <c r="AF18" s="132"/>
      <c r="AG18" s="132"/>
      <c r="AH18" s="132"/>
      <c r="AI18" s="90"/>
      <c r="AJ18" s="112"/>
      <c r="AK18" s="591"/>
      <c r="AL18" s="134"/>
      <c r="AM18" s="134"/>
      <c r="AN18" s="91"/>
      <c r="AO18" s="272"/>
      <c r="AP18" s="165"/>
      <c r="AQ18" s="158"/>
      <c r="AR18" s="158"/>
      <c r="AS18" s="158"/>
      <c r="AT18" s="158"/>
      <c r="AU18" s="158"/>
      <c r="AV18" s="165"/>
      <c r="AW18" s="169"/>
      <c r="AX18" s="165"/>
      <c r="AY18" s="165"/>
      <c r="AZ18" s="165"/>
      <c r="BA18" s="165"/>
      <c r="BB18" s="165"/>
      <c r="BC18" s="169"/>
      <c r="BD18" s="169"/>
      <c r="BE18" s="169"/>
      <c r="BF18" s="165"/>
      <c r="BK18" s="529"/>
      <c r="BL18" s="165"/>
      <c r="BM18" s="165"/>
      <c r="BN18" s="165"/>
      <c r="BO18" s="165"/>
      <c r="BP18" s="165"/>
      <c r="BQ18" s="165"/>
      <c r="BR18" s="165"/>
      <c r="BS18" s="165"/>
      <c r="BT18" s="183"/>
      <c r="BY18" s="7"/>
    </row>
    <row r="19" ht="66.75" customHeight="1" spans="1:79">
      <c r="A19" s="23">
        <f>SUBTOTAL(3,C$8:C19)</f>
        <v>6</v>
      </c>
      <c r="B19" s="55" t="s">
        <v>833</v>
      </c>
      <c r="C19" s="35" t="s">
        <v>810</v>
      </c>
      <c r="D19" s="34" t="s">
        <v>834</v>
      </c>
      <c r="E19" s="35" t="s">
        <v>832</v>
      </c>
      <c r="F19" s="38">
        <v>50000</v>
      </c>
      <c r="G19" s="38">
        <v>25000</v>
      </c>
      <c r="H19" s="81" t="s">
        <v>113</v>
      </c>
      <c r="I19" s="37">
        <v>5000</v>
      </c>
      <c r="J19" s="37">
        <v>18000</v>
      </c>
      <c r="K19" s="37">
        <v>25000</v>
      </c>
      <c r="L19" s="38">
        <v>25000</v>
      </c>
      <c r="M19" s="38">
        <v>5000</v>
      </c>
      <c r="N19" s="61"/>
      <c r="O19" s="36"/>
      <c r="P19" s="112" t="s">
        <v>2575</v>
      </c>
      <c r="Q19" s="124" t="s">
        <v>117</v>
      </c>
      <c r="R19" s="134"/>
      <c r="S19" s="134"/>
      <c r="T19" s="134"/>
      <c r="U19" s="134"/>
      <c r="V19" s="134"/>
      <c r="W19" s="134"/>
      <c r="X19" s="134"/>
      <c r="Y19" s="134"/>
      <c r="Z19" s="134"/>
      <c r="AA19" s="134"/>
      <c r="AB19" s="134"/>
      <c r="AC19" s="134"/>
      <c r="AD19" s="115">
        <v>25000</v>
      </c>
      <c r="AE19" s="115"/>
      <c r="AF19" s="115"/>
      <c r="AG19" s="115">
        <v>25000</v>
      </c>
      <c r="AH19" s="115"/>
      <c r="AI19" s="90"/>
      <c r="AJ19" s="112" t="s">
        <v>117</v>
      </c>
      <c r="AK19" s="34" t="s">
        <v>835</v>
      </c>
      <c r="AL19" s="35" t="s">
        <v>2576</v>
      </c>
      <c r="AM19" s="67" t="s">
        <v>240</v>
      </c>
      <c r="AN19" s="91"/>
      <c r="AO19" s="162"/>
      <c r="AP19" s="157"/>
      <c r="AQ19" s="158" t="s">
        <v>241</v>
      </c>
      <c r="AR19" s="158" t="s">
        <v>91</v>
      </c>
      <c r="AS19" s="158" t="str">
        <f t="shared" ref="AS19:AS25" si="23">AR19&amp;AQ19</f>
        <v>工业高新区</v>
      </c>
      <c r="AT19" s="158" t="str">
        <f t="shared" ref="AT19:AT25" si="24">AR19</f>
        <v>工业</v>
      </c>
      <c r="AU19" s="158"/>
      <c r="AV19" s="157"/>
      <c r="AW19" s="159"/>
      <c r="AX19" s="160"/>
      <c r="AY19" s="157"/>
      <c r="AZ19" s="157"/>
      <c r="BA19" s="157"/>
      <c r="BB19" s="157"/>
      <c r="BC19" s="157"/>
      <c r="BD19" s="157"/>
      <c r="BE19" s="157"/>
      <c r="BF19" s="157"/>
      <c r="BG19" s="7" t="s">
        <v>92</v>
      </c>
      <c r="BH19" s="7" t="s">
        <v>93</v>
      </c>
      <c r="BI19" s="204" t="str">
        <f t="shared" ref="BI19:BI25" si="25">BG19&amp;AM19</f>
        <v>企业钦州高新区管委</v>
      </c>
      <c r="BJ19" s="204" t="str">
        <f t="shared" ref="BJ19:BJ25" si="26">BH19&amp;AM19</f>
        <v>产业钦州高新区管委</v>
      </c>
      <c r="BK19" s="205">
        <f t="shared" si="18"/>
        <v>0</v>
      </c>
      <c r="BL19" s="157" t="str">
        <f t="shared" si="19"/>
        <v>工业高新区1000</v>
      </c>
      <c r="BM19" s="157" t="str">
        <f t="shared" si="20"/>
        <v>工业高新区2000</v>
      </c>
      <c r="BN19" s="157" t="str">
        <f t="shared" si="21"/>
        <v>工业高新区5000</v>
      </c>
      <c r="BO19" s="157">
        <f t="shared" ref="BO19:BO25" si="27">IF(R19&gt;0,1,0)</f>
        <v>0</v>
      </c>
      <c r="BP19" s="157">
        <f t="shared" ref="BP19:BP25" si="28">IF(X19&gt;0,1,0)</f>
        <v>0</v>
      </c>
      <c r="BQ19" s="157">
        <f t="shared" ref="BQ19:BQ25" si="29">IF(U19&gt;0,1,0)</f>
        <v>0</v>
      </c>
      <c r="BR19" s="157">
        <f t="shared" ref="BR19:BR25" si="30">IF(AA19&gt;0,1,0)</f>
        <v>0</v>
      </c>
      <c r="BS19" s="157">
        <f t="shared" ref="BS19:BS25" si="31">IF(AD19&gt;0,1,0)</f>
        <v>1</v>
      </c>
      <c r="BT19" s="181"/>
      <c r="BU19" s="206"/>
      <c r="BW19" s="7"/>
      <c r="BX19" s="7"/>
      <c r="BY19" s="7"/>
      <c r="BZ19" s="7"/>
      <c r="CA19" s="7"/>
    </row>
    <row r="20" ht="69.75" customHeight="1" spans="1:79">
      <c r="A20" s="23">
        <f>SUBTOTAL(3,C$8:C20)</f>
        <v>7</v>
      </c>
      <c r="B20" s="55" t="s">
        <v>836</v>
      </c>
      <c r="C20" s="35" t="s">
        <v>810</v>
      </c>
      <c r="D20" s="60" t="s">
        <v>2577</v>
      </c>
      <c r="E20" s="35" t="s">
        <v>832</v>
      </c>
      <c r="F20" s="35">
        <v>6000</v>
      </c>
      <c r="G20" s="67">
        <v>500</v>
      </c>
      <c r="H20" s="81" t="s">
        <v>131</v>
      </c>
      <c r="I20" s="37">
        <v>500</v>
      </c>
      <c r="J20" s="37">
        <v>1500</v>
      </c>
      <c r="K20" s="37">
        <v>3500</v>
      </c>
      <c r="L20" s="38">
        <v>5500</v>
      </c>
      <c r="M20" s="38">
        <v>2000</v>
      </c>
      <c r="N20" s="61"/>
      <c r="O20" s="36"/>
      <c r="P20" s="112" t="s">
        <v>2575</v>
      </c>
      <c r="Q20" s="124" t="s">
        <v>117</v>
      </c>
      <c r="R20" s="134"/>
      <c r="S20" s="134"/>
      <c r="T20" s="134"/>
      <c r="U20" s="134"/>
      <c r="V20" s="134"/>
      <c r="W20" s="134"/>
      <c r="X20" s="134"/>
      <c r="Y20" s="134"/>
      <c r="Z20" s="134"/>
      <c r="AA20" s="134"/>
      <c r="AB20" s="134"/>
      <c r="AC20" s="134"/>
      <c r="AD20" s="115">
        <v>25000</v>
      </c>
      <c r="AE20" s="115"/>
      <c r="AF20" s="115"/>
      <c r="AG20" s="115">
        <v>25000</v>
      </c>
      <c r="AH20" s="115"/>
      <c r="AI20" s="90"/>
      <c r="AJ20" s="90" t="s">
        <v>117</v>
      </c>
      <c r="AK20" s="34" t="s">
        <v>838</v>
      </c>
      <c r="AL20" s="35" t="s">
        <v>2578</v>
      </c>
      <c r="AM20" s="35" t="s">
        <v>240</v>
      </c>
      <c r="AN20" s="91"/>
      <c r="AO20" s="162"/>
      <c r="AP20" s="157"/>
      <c r="AQ20" s="158" t="s">
        <v>241</v>
      </c>
      <c r="AR20" s="158" t="s">
        <v>91</v>
      </c>
      <c r="AS20" s="158" t="str">
        <f t="shared" si="23"/>
        <v>工业高新区</v>
      </c>
      <c r="AT20" s="158" t="str">
        <f t="shared" si="24"/>
        <v>工业</v>
      </c>
      <c r="AU20" s="158"/>
      <c r="AV20" s="157"/>
      <c r="AW20" s="159"/>
      <c r="AX20" s="160"/>
      <c r="AY20" s="157"/>
      <c r="AZ20" s="157"/>
      <c r="BA20" s="157"/>
      <c r="BB20" s="157"/>
      <c r="BC20" s="157"/>
      <c r="BD20" s="157"/>
      <c r="BE20" s="157"/>
      <c r="BF20" s="157"/>
      <c r="BG20" s="7" t="s">
        <v>92</v>
      </c>
      <c r="BH20" s="7" t="s">
        <v>93</v>
      </c>
      <c r="BI20" s="204" t="str">
        <f t="shared" si="25"/>
        <v>企业钦州高新区管委</v>
      </c>
      <c r="BJ20" s="204" t="str">
        <f t="shared" si="26"/>
        <v>产业钦州高新区管委</v>
      </c>
      <c r="BK20" s="205">
        <f t="shared" si="18"/>
        <v>0</v>
      </c>
      <c r="BL20" s="157" t="str">
        <f t="shared" si="19"/>
        <v>工业高新区1000</v>
      </c>
      <c r="BM20" s="157" t="str">
        <f t="shared" si="20"/>
        <v>工业高新区2000</v>
      </c>
      <c r="BN20" s="157" t="str">
        <f t="shared" si="21"/>
        <v>工业高新区5000</v>
      </c>
      <c r="BO20" s="157">
        <f t="shared" si="27"/>
        <v>0</v>
      </c>
      <c r="BP20" s="157">
        <f t="shared" si="28"/>
        <v>0</v>
      </c>
      <c r="BQ20" s="157">
        <f t="shared" si="29"/>
        <v>0</v>
      </c>
      <c r="BR20" s="157">
        <f t="shared" si="30"/>
        <v>0</v>
      </c>
      <c r="BS20" s="157">
        <f t="shared" si="31"/>
        <v>1</v>
      </c>
      <c r="BT20" s="181"/>
      <c r="BU20" s="206"/>
      <c r="BW20" s="7"/>
      <c r="BX20" s="7"/>
      <c r="BY20" s="7"/>
      <c r="BZ20" s="7"/>
      <c r="CA20" s="7"/>
    </row>
    <row r="21" ht="66.75" customHeight="1" spans="1:79">
      <c r="A21" s="23">
        <f>SUBTOTAL(3,C$8:C21)</f>
        <v>8</v>
      </c>
      <c r="B21" s="55" t="s">
        <v>839</v>
      </c>
      <c r="C21" s="35" t="s">
        <v>810</v>
      </c>
      <c r="D21" s="60" t="s">
        <v>840</v>
      </c>
      <c r="E21" s="35" t="s">
        <v>841</v>
      </c>
      <c r="F21" s="35">
        <v>15000</v>
      </c>
      <c r="G21" s="67">
        <v>13500</v>
      </c>
      <c r="H21" s="81" t="s">
        <v>131</v>
      </c>
      <c r="I21" s="37">
        <v>200</v>
      </c>
      <c r="J21" s="37">
        <v>800</v>
      </c>
      <c r="K21" s="37">
        <v>1300</v>
      </c>
      <c r="L21" s="38">
        <v>1500</v>
      </c>
      <c r="M21" s="38">
        <v>2000</v>
      </c>
      <c r="N21" s="61"/>
      <c r="O21" s="36"/>
      <c r="P21" s="112" t="s">
        <v>2575</v>
      </c>
      <c r="Q21" s="124" t="s">
        <v>117</v>
      </c>
      <c r="R21" s="134"/>
      <c r="S21" s="134"/>
      <c r="T21" s="134"/>
      <c r="U21" s="134"/>
      <c r="V21" s="134"/>
      <c r="W21" s="134"/>
      <c r="X21" s="134"/>
      <c r="Y21" s="134"/>
      <c r="Z21" s="134"/>
      <c r="AA21" s="134"/>
      <c r="AB21" s="134"/>
      <c r="AC21" s="134"/>
      <c r="AD21" s="115">
        <v>25000</v>
      </c>
      <c r="AE21" s="115"/>
      <c r="AF21" s="115"/>
      <c r="AG21" s="115">
        <v>25000</v>
      </c>
      <c r="AH21" s="115"/>
      <c r="AI21" s="90"/>
      <c r="AJ21" s="90" t="s">
        <v>842</v>
      </c>
      <c r="AK21" s="34" t="s">
        <v>843</v>
      </c>
      <c r="AL21" s="35" t="s">
        <v>2579</v>
      </c>
      <c r="AM21" s="35" t="s">
        <v>240</v>
      </c>
      <c r="AN21" s="91"/>
      <c r="AO21" s="162"/>
      <c r="AP21" s="157"/>
      <c r="AQ21" s="158" t="s">
        <v>241</v>
      </c>
      <c r="AR21" s="158" t="s">
        <v>91</v>
      </c>
      <c r="AS21" s="158" t="str">
        <f t="shared" si="23"/>
        <v>工业高新区</v>
      </c>
      <c r="AT21" s="158" t="str">
        <f t="shared" si="24"/>
        <v>工业</v>
      </c>
      <c r="AU21" s="158"/>
      <c r="AV21" s="157"/>
      <c r="AW21" s="159"/>
      <c r="AX21" s="160"/>
      <c r="AY21" s="157"/>
      <c r="AZ21" s="157"/>
      <c r="BA21" s="157"/>
      <c r="BB21" s="157"/>
      <c r="BC21" s="157"/>
      <c r="BD21" s="157"/>
      <c r="BE21" s="157"/>
      <c r="BF21" s="157"/>
      <c r="BG21" s="7" t="s">
        <v>92</v>
      </c>
      <c r="BH21" s="7" t="s">
        <v>93</v>
      </c>
      <c r="BI21" s="204" t="str">
        <f t="shared" si="25"/>
        <v>企业钦州高新区管委</v>
      </c>
      <c r="BJ21" s="204" t="str">
        <f t="shared" si="26"/>
        <v>产业钦州高新区管委</v>
      </c>
      <c r="BK21" s="205">
        <f t="shared" si="18"/>
        <v>0</v>
      </c>
      <c r="BL21" s="157" t="str">
        <f t="shared" si="19"/>
        <v>工业高新区1000</v>
      </c>
      <c r="BM21" s="157" t="str">
        <f t="shared" si="20"/>
        <v/>
      </c>
      <c r="BN21" s="157" t="str">
        <f t="shared" si="21"/>
        <v/>
      </c>
      <c r="BO21" s="157">
        <f t="shared" si="27"/>
        <v>0</v>
      </c>
      <c r="BP21" s="157">
        <f t="shared" si="28"/>
        <v>0</v>
      </c>
      <c r="BQ21" s="157">
        <f t="shared" si="29"/>
        <v>0</v>
      </c>
      <c r="BR21" s="157">
        <f t="shared" si="30"/>
        <v>0</v>
      </c>
      <c r="BS21" s="157">
        <f t="shared" si="31"/>
        <v>1</v>
      </c>
      <c r="BT21" s="181"/>
      <c r="BU21" s="206"/>
      <c r="BW21" s="7"/>
      <c r="BX21" s="7"/>
      <c r="BY21" s="7"/>
      <c r="BZ21" s="7"/>
      <c r="CA21" s="7"/>
    </row>
    <row r="22" ht="74.25" customHeight="1" spans="1:79">
      <c r="A22" s="23">
        <f>SUBTOTAL(3,C$8:C22)</f>
        <v>9</v>
      </c>
      <c r="B22" s="54" t="s">
        <v>844</v>
      </c>
      <c r="C22" s="35" t="s">
        <v>810</v>
      </c>
      <c r="D22" s="123" t="s">
        <v>845</v>
      </c>
      <c r="E22" s="67" t="s">
        <v>832</v>
      </c>
      <c r="F22" s="67">
        <v>6000</v>
      </c>
      <c r="G22" s="67">
        <v>1000</v>
      </c>
      <c r="H22" s="81" t="s">
        <v>131</v>
      </c>
      <c r="I22" s="37">
        <v>100</v>
      </c>
      <c r="J22" s="37">
        <v>1600</v>
      </c>
      <c r="K22" s="37">
        <v>3000</v>
      </c>
      <c r="L22" s="67">
        <v>5000</v>
      </c>
      <c r="M22" s="67">
        <v>3000</v>
      </c>
      <c r="N22" s="36"/>
      <c r="O22" s="36"/>
      <c r="P22" s="123" t="s">
        <v>2580</v>
      </c>
      <c r="Q22" s="123" t="s">
        <v>817</v>
      </c>
      <c r="R22" s="134"/>
      <c r="S22" s="134"/>
      <c r="T22" s="134"/>
      <c r="U22" s="134"/>
      <c r="V22" s="134"/>
      <c r="W22" s="134"/>
      <c r="X22" s="134"/>
      <c r="Y22" s="134"/>
      <c r="Z22" s="134"/>
      <c r="AA22" s="134"/>
      <c r="AB22" s="134"/>
      <c r="AC22" s="134"/>
      <c r="AD22" s="134">
        <v>5000</v>
      </c>
      <c r="AE22" s="134"/>
      <c r="AF22" s="134"/>
      <c r="AG22" s="134"/>
      <c r="AH22" s="134">
        <v>5000</v>
      </c>
      <c r="AI22" s="90"/>
      <c r="AJ22" s="112" t="s">
        <v>846</v>
      </c>
      <c r="AK22" s="123" t="s">
        <v>847</v>
      </c>
      <c r="AL22" s="67" t="s">
        <v>2581</v>
      </c>
      <c r="AM22" s="67" t="s">
        <v>240</v>
      </c>
      <c r="AN22" s="91" t="s">
        <v>2582</v>
      </c>
      <c r="AO22" s="162"/>
      <c r="AP22" s="157"/>
      <c r="AQ22" s="158" t="s">
        <v>241</v>
      </c>
      <c r="AR22" s="158" t="s">
        <v>91</v>
      </c>
      <c r="AS22" s="158" t="str">
        <f t="shared" si="23"/>
        <v>工业高新区</v>
      </c>
      <c r="AT22" s="158" t="str">
        <f t="shared" si="24"/>
        <v>工业</v>
      </c>
      <c r="AU22" s="158"/>
      <c r="AV22" s="157"/>
      <c r="AW22" s="159"/>
      <c r="AX22" s="160"/>
      <c r="AY22" s="157"/>
      <c r="AZ22" s="157"/>
      <c r="BA22" s="157"/>
      <c r="BB22" s="157"/>
      <c r="BC22" s="157"/>
      <c r="BD22" s="157"/>
      <c r="BE22" s="157"/>
      <c r="BF22" s="157"/>
      <c r="BG22" s="7" t="s">
        <v>92</v>
      </c>
      <c r="BH22" s="7" t="s">
        <v>93</v>
      </c>
      <c r="BI22" s="204" t="str">
        <f t="shared" si="25"/>
        <v>企业钦州高新区管委</v>
      </c>
      <c r="BJ22" s="204" t="str">
        <f t="shared" si="26"/>
        <v>产业钦州高新区管委</v>
      </c>
      <c r="BL22" s="157"/>
      <c r="BM22" s="157"/>
      <c r="BN22" s="157"/>
      <c r="BO22" s="157">
        <f t="shared" si="27"/>
        <v>0</v>
      </c>
      <c r="BP22" s="157">
        <f t="shared" si="28"/>
        <v>0</v>
      </c>
      <c r="BQ22" s="157">
        <f t="shared" si="29"/>
        <v>0</v>
      </c>
      <c r="BR22" s="157">
        <f t="shared" si="30"/>
        <v>0</v>
      </c>
      <c r="BS22" s="157">
        <f t="shared" si="31"/>
        <v>1</v>
      </c>
      <c r="BT22" s="181"/>
      <c r="BU22" s="206"/>
      <c r="BW22" s="7"/>
      <c r="BX22" s="7"/>
      <c r="BY22" s="7"/>
      <c r="BZ22" s="7"/>
      <c r="CA22" s="7"/>
    </row>
    <row r="23" ht="66.75" customHeight="1" spans="1:79">
      <c r="A23" s="23">
        <f>SUBTOTAL(3,C$8:C23)</f>
        <v>10</v>
      </c>
      <c r="B23" s="54" t="s">
        <v>849</v>
      </c>
      <c r="C23" s="35" t="s">
        <v>810</v>
      </c>
      <c r="D23" s="123" t="s">
        <v>850</v>
      </c>
      <c r="E23" s="67">
        <v>2019</v>
      </c>
      <c r="F23" s="67">
        <v>5000</v>
      </c>
      <c r="G23" s="67">
        <v>0</v>
      </c>
      <c r="H23" s="81" t="s">
        <v>144</v>
      </c>
      <c r="I23" s="37">
        <v>3000</v>
      </c>
      <c r="J23" s="37">
        <v>5000</v>
      </c>
      <c r="K23" s="37">
        <v>5000</v>
      </c>
      <c r="L23" s="67">
        <v>5000</v>
      </c>
      <c r="M23" s="67">
        <v>5000</v>
      </c>
      <c r="N23" s="61"/>
      <c r="O23" s="36"/>
      <c r="P23" s="123" t="s">
        <v>2583</v>
      </c>
      <c r="Q23" s="123" t="s">
        <v>117</v>
      </c>
      <c r="R23" s="134"/>
      <c r="S23" s="134"/>
      <c r="T23" s="134"/>
      <c r="U23" s="134"/>
      <c r="V23" s="134"/>
      <c r="W23" s="134"/>
      <c r="X23" s="134"/>
      <c r="Y23" s="134"/>
      <c r="Z23" s="134"/>
      <c r="AA23" s="134"/>
      <c r="AB23" s="134"/>
      <c r="AC23" s="134"/>
      <c r="AD23" s="134">
        <v>2000</v>
      </c>
      <c r="AE23" s="134"/>
      <c r="AF23" s="134"/>
      <c r="AG23" s="134">
        <v>2000</v>
      </c>
      <c r="AH23" s="134"/>
      <c r="AI23" s="90"/>
      <c r="AJ23" s="112" t="s">
        <v>117</v>
      </c>
      <c r="AK23" s="123" t="s">
        <v>851</v>
      </c>
      <c r="AL23" s="67" t="s">
        <v>2584</v>
      </c>
      <c r="AM23" s="67" t="s">
        <v>240</v>
      </c>
      <c r="AN23" s="91"/>
      <c r="AO23" s="162"/>
      <c r="AP23" s="157"/>
      <c r="AQ23" s="158" t="s">
        <v>241</v>
      </c>
      <c r="AR23" s="158" t="s">
        <v>91</v>
      </c>
      <c r="AS23" s="158" t="str">
        <f t="shared" si="23"/>
        <v>工业高新区</v>
      </c>
      <c r="AT23" s="158" t="str">
        <f t="shared" si="24"/>
        <v>工业</v>
      </c>
      <c r="AU23" s="158"/>
      <c r="AV23" s="157"/>
      <c r="AW23" s="159"/>
      <c r="AX23" s="160"/>
      <c r="AY23" s="157"/>
      <c r="AZ23" s="157"/>
      <c r="BA23" s="157"/>
      <c r="BB23" s="157"/>
      <c r="BC23" s="157"/>
      <c r="BD23" s="157"/>
      <c r="BE23" s="157"/>
      <c r="BF23" s="157"/>
      <c r="BG23" s="7" t="s">
        <v>92</v>
      </c>
      <c r="BH23" s="7" t="s">
        <v>93</v>
      </c>
      <c r="BI23" s="204" t="str">
        <f t="shared" si="25"/>
        <v>企业钦州高新区管委</v>
      </c>
      <c r="BJ23" s="204" t="str">
        <f t="shared" si="26"/>
        <v>产业钦州高新区管委</v>
      </c>
      <c r="BK23" s="205">
        <f t="shared" ref="BK23:BK25" si="32">IF(N23&gt;0,1,0)</f>
        <v>0</v>
      </c>
      <c r="BL23" s="157" t="str">
        <f t="shared" ref="BL23:BL25" si="33">IF(L23&lt;1000,"",AS23&amp;"1000")</f>
        <v>工业高新区1000</v>
      </c>
      <c r="BM23" s="157" t="str">
        <f t="shared" ref="BM23:BM25" si="34">IF(L23&lt;2000,"",AS23&amp;"2000")</f>
        <v>工业高新区2000</v>
      </c>
      <c r="BN23" s="157" t="str">
        <f t="shared" ref="BN23:BN25" si="35">IF(L23&lt;5000,"",AS23&amp;"5000")</f>
        <v>工业高新区5000</v>
      </c>
      <c r="BO23" s="157">
        <f t="shared" si="27"/>
        <v>0</v>
      </c>
      <c r="BP23" s="157">
        <f t="shared" si="28"/>
        <v>0</v>
      </c>
      <c r="BQ23" s="157">
        <f t="shared" si="29"/>
        <v>0</v>
      </c>
      <c r="BR23" s="157">
        <f t="shared" si="30"/>
        <v>0</v>
      </c>
      <c r="BS23" s="157">
        <f t="shared" si="31"/>
        <v>1</v>
      </c>
      <c r="BT23" s="181"/>
      <c r="BU23" s="206"/>
      <c r="BW23" s="7"/>
      <c r="BX23" s="7"/>
      <c r="BY23" s="7"/>
      <c r="BZ23" s="7"/>
      <c r="CA23" s="7"/>
    </row>
    <row r="24" ht="74.25" customHeight="1" spans="1:79">
      <c r="A24" s="23">
        <f>SUBTOTAL(3,C$8:C24)</f>
        <v>11</v>
      </c>
      <c r="B24" s="54" t="s">
        <v>852</v>
      </c>
      <c r="C24" s="35" t="s">
        <v>810</v>
      </c>
      <c r="D24" s="123" t="s">
        <v>853</v>
      </c>
      <c r="E24" s="67">
        <v>2019</v>
      </c>
      <c r="F24" s="67">
        <v>5000</v>
      </c>
      <c r="G24" s="67">
        <v>0</v>
      </c>
      <c r="H24" s="81" t="s">
        <v>122</v>
      </c>
      <c r="I24" s="37">
        <v>2500</v>
      </c>
      <c r="J24" s="37">
        <v>5000</v>
      </c>
      <c r="K24" s="37">
        <v>5000</v>
      </c>
      <c r="L24" s="67">
        <v>5000</v>
      </c>
      <c r="M24" s="67">
        <v>5000</v>
      </c>
      <c r="N24" s="36"/>
      <c r="O24" s="36"/>
      <c r="P24" s="123" t="s">
        <v>2585</v>
      </c>
      <c r="Q24" s="123" t="s">
        <v>117</v>
      </c>
      <c r="R24" s="134"/>
      <c r="S24" s="134"/>
      <c r="T24" s="134"/>
      <c r="U24" s="134"/>
      <c r="V24" s="134"/>
      <c r="W24" s="134"/>
      <c r="X24" s="134"/>
      <c r="Y24" s="134"/>
      <c r="Z24" s="134"/>
      <c r="AA24" s="134"/>
      <c r="AB24" s="134"/>
      <c r="AC24" s="134"/>
      <c r="AD24" s="134">
        <v>5000</v>
      </c>
      <c r="AE24" s="134"/>
      <c r="AF24" s="134"/>
      <c r="AG24" s="134">
        <v>2000</v>
      </c>
      <c r="AH24" s="134">
        <v>3000</v>
      </c>
      <c r="AI24" s="90"/>
      <c r="AJ24" s="112" t="s">
        <v>117</v>
      </c>
      <c r="AK24" s="123" t="s">
        <v>854</v>
      </c>
      <c r="AL24" s="67" t="s">
        <v>2586</v>
      </c>
      <c r="AM24" s="67" t="s">
        <v>240</v>
      </c>
      <c r="AN24" s="91"/>
      <c r="AO24" s="162"/>
      <c r="AP24" s="157"/>
      <c r="AQ24" s="158" t="s">
        <v>241</v>
      </c>
      <c r="AR24" s="158" t="s">
        <v>91</v>
      </c>
      <c r="AS24" s="158" t="str">
        <f t="shared" si="23"/>
        <v>工业高新区</v>
      </c>
      <c r="AT24" s="158" t="str">
        <f t="shared" si="24"/>
        <v>工业</v>
      </c>
      <c r="AU24" s="158"/>
      <c r="AV24" s="157"/>
      <c r="AW24" s="159"/>
      <c r="AX24" s="160"/>
      <c r="AY24" s="157"/>
      <c r="AZ24" s="157"/>
      <c r="BA24" s="157"/>
      <c r="BB24" s="157"/>
      <c r="BC24" s="157"/>
      <c r="BD24" s="157"/>
      <c r="BE24" s="157"/>
      <c r="BF24" s="157"/>
      <c r="BG24" s="7" t="s">
        <v>92</v>
      </c>
      <c r="BH24" s="7" t="s">
        <v>93</v>
      </c>
      <c r="BI24" s="204" t="str">
        <f t="shared" si="25"/>
        <v>企业钦州高新区管委</v>
      </c>
      <c r="BJ24" s="204" t="str">
        <f t="shared" si="26"/>
        <v>产业钦州高新区管委</v>
      </c>
      <c r="BK24" s="205">
        <f t="shared" si="32"/>
        <v>0</v>
      </c>
      <c r="BL24" s="157" t="str">
        <f t="shared" si="33"/>
        <v>工业高新区1000</v>
      </c>
      <c r="BM24" s="157" t="str">
        <f t="shared" si="34"/>
        <v>工业高新区2000</v>
      </c>
      <c r="BN24" s="157" t="str">
        <f t="shared" si="35"/>
        <v>工业高新区5000</v>
      </c>
      <c r="BO24" s="157">
        <f t="shared" si="27"/>
        <v>0</v>
      </c>
      <c r="BP24" s="157">
        <f t="shared" si="28"/>
        <v>0</v>
      </c>
      <c r="BQ24" s="157">
        <f t="shared" si="29"/>
        <v>0</v>
      </c>
      <c r="BR24" s="157">
        <f t="shared" si="30"/>
        <v>0</v>
      </c>
      <c r="BS24" s="157">
        <f t="shared" si="31"/>
        <v>1</v>
      </c>
      <c r="BT24" s="181"/>
      <c r="BU24" s="206"/>
      <c r="BW24" s="7"/>
      <c r="BX24" s="7"/>
      <c r="BY24" s="7"/>
      <c r="BZ24" s="7"/>
      <c r="CA24" s="7"/>
    </row>
    <row r="25" ht="74.25" customHeight="1" spans="1:79">
      <c r="A25" s="23">
        <f>SUBTOTAL(3,C$8:C25)</f>
        <v>12</v>
      </c>
      <c r="B25" s="54" t="s">
        <v>855</v>
      </c>
      <c r="C25" s="35" t="s">
        <v>810</v>
      </c>
      <c r="D25" s="123" t="s">
        <v>2587</v>
      </c>
      <c r="E25" s="67" t="s">
        <v>812</v>
      </c>
      <c r="F25" s="67">
        <v>4800</v>
      </c>
      <c r="G25" s="67">
        <v>4300</v>
      </c>
      <c r="H25" s="81" t="s">
        <v>122</v>
      </c>
      <c r="I25" s="37">
        <v>300</v>
      </c>
      <c r="J25" s="37">
        <v>500</v>
      </c>
      <c r="K25" s="37">
        <v>500</v>
      </c>
      <c r="L25" s="67">
        <v>500</v>
      </c>
      <c r="M25" s="67">
        <v>3000</v>
      </c>
      <c r="N25" s="36"/>
      <c r="O25" s="36"/>
      <c r="P25" s="123"/>
      <c r="Q25" s="123" t="s">
        <v>117</v>
      </c>
      <c r="R25" s="134"/>
      <c r="S25" s="134"/>
      <c r="T25" s="134"/>
      <c r="U25" s="134"/>
      <c r="V25" s="134"/>
      <c r="W25" s="134"/>
      <c r="X25" s="134"/>
      <c r="Y25" s="134"/>
      <c r="Z25" s="134"/>
      <c r="AA25" s="134"/>
      <c r="AB25" s="134"/>
      <c r="AC25" s="134"/>
      <c r="AD25" s="134">
        <v>5000</v>
      </c>
      <c r="AE25" s="134"/>
      <c r="AF25" s="134"/>
      <c r="AG25" s="134">
        <v>2000</v>
      </c>
      <c r="AH25" s="134">
        <v>3000</v>
      </c>
      <c r="AI25" s="90"/>
      <c r="AJ25" s="112" t="s">
        <v>117</v>
      </c>
      <c r="AK25" s="123" t="s">
        <v>857</v>
      </c>
      <c r="AL25" s="67" t="s">
        <v>2588</v>
      </c>
      <c r="AM25" s="67" t="s">
        <v>240</v>
      </c>
      <c r="AN25" s="91"/>
      <c r="AO25" s="162"/>
      <c r="AP25" s="157"/>
      <c r="AQ25" s="158" t="s">
        <v>241</v>
      </c>
      <c r="AR25" s="158" t="s">
        <v>91</v>
      </c>
      <c r="AS25" s="158" t="str">
        <f t="shared" si="23"/>
        <v>工业高新区</v>
      </c>
      <c r="AT25" s="158" t="str">
        <f t="shared" si="24"/>
        <v>工业</v>
      </c>
      <c r="AU25" s="158"/>
      <c r="AV25" s="157"/>
      <c r="AW25" s="159"/>
      <c r="AX25" s="160"/>
      <c r="AY25" s="157"/>
      <c r="AZ25" s="157"/>
      <c r="BA25" s="157"/>
      <c r="BB25" s="157"/>
      <c r="BC25" s="157"/>
      <c r="BD25" s="157"/>
      <c r="BE25" s="157"/>
      <c r="BF25" s="157"/>
      <c r="BG25" s="7" t="s">
        <v>92</v>
      </c>
      <c r="BH25" s="7" t="s">
        <v>93</v>
      </c>
      <c r="BI25" s="204" t="str">
        <f t="shared" si="25"/>
        <v>企业钦州高新区管委</v>
      </c>
      <c r="BJ25" s="204" t="str">
        <f t="shared" si="26"/>
        <v>产业钦州高新区管委</v>
      </c>
      <c r="BK25" s="205">
        <f t="shared" si="32"/>
        <v>0</v>
      </c>
      <c r="BL25" s="157" t="str">
        <f t="shared" si="33"/>
        <v/>
      </c>
      <c r="BM25" s="157" t="str">
        <f t="shared" si="34"/>
        <v/>
      </c>
      <c r="BN25" s="157" t="str">
        <f t="shared" si="35"/>
        <v/>
      </c>
      <c r="BO25" s="157">
        <f t="shared" si="27"/>
        <v>0</v>
      </c>
      <c r="BP25" s="157">
        <f t="shared" si="28"/>
        <v>0</v>
      </c>
      <c r="BQ25" s="157">
        <f t="shared" si="29"/>
        <v>0</v>
      </c>
      <c r="BR25" s="157">
        <f t="shared" si="30"/>
        <v>0</v>
      </c>
      <c r="BS25" s="157">
        <f t="shared" si="31"/>
        <v>1</v>
      </c>
      <c r="BT25" s="181"/>
      <c r="BU25" s="206"/>
      <c r="BW25" s="7"/>
      <c r="BX25" s="7"/>
      <c r="BY25" s="7"/>
      <c r="BZ25" s="7"/>
      <c r="CA25" s="7"/>
    </row>
    <row r="26" s="9" customFormat="1" ht="30" customHeight="1" spans="1:77">
      <c r="A26" s="551"/>
      <c r="B26" s="557" t="str">
        <f>"钦南区（"&amp;SUBTOTAL(3,C27:C29)&amp;"个）"</f>
        <v>钦南区（3个）</v>
      </c>
      <c r="C26" s="551"/>
      <c r="D26" s="555"/>
      <c r="E26" s="551"/>
      <c r="F26" s="134">
        <f t="shared" ref="F26:M26" si="36">SUBTOTAL(9,F27:F29)</f>
        <v>30600</v>
      </c>
      <c r="G26" s="134">
        <f t="shared" si="36"/>
        <v>23635</v>
      </c>
      <c r="H26" s="134"/>
      <c r="I26" s="134">
        <f t="shared" si="36"/>
        <v>3120</v>
      </c>
      <c r="J26" s="134">
        <f t="shared" si="36"/>
        <v>6615</v>
      </c>
      <c r="K26" s="134">
        <f t="shared" si="36"/>
        <v>6855</v>
      </c>
      <c r="L26" s="134">
        <f t="shared" si="36"/>
        <v>6965</v>
      </c>
      <c r="M26" s="134">
        <f t="shared" si="36"/>
        <v>32000</v>
      </c>
      <c r="N26" s="134"/>
      <c r="O26" s="134"/>
      <c r="P26" s="244"/>
      <c r="Q26" s="112"/>
      <c r="R26" s="132"/>
      <c r="S26" s="132"/>
      <c r="T26" s="132"/>
      <c r="U26" s="132"/>
      <c r="V26" s="132"/>
      <c r="W26" s="132"/>
      <c r="X26" s="132"/>
      <c r="Y26" s="132"/>
      <c r="Z26" s="132"/>
      <c r="AA26" s="132"/>
      <c r="AB26" s="132"/>
      <c r="AC26" s="132"/>
      <c r="AD26" s="132"/>
      <c r="AE26" s="132"/>
      <c r="AF26" s="132"/>
      <c r="AG26" s="132"/>
      <c r="AH26" s="132"/>
      <c r="AI26" s="90"/>
      <c r="AJ26" s="112"/>
      <c r="AK26" s="591"/>
      <c r="AL26" s="134"/>
      <c r="AM26" s="134"/>
      <c r="AN26" s="91"/>
      <c r="AO26" s="272"/>
      <c r="AP26" s="165"/>
      <c r="AQ26" s="158"/>
      <c r="AR26" s="158"/>
      <c r="AS26" s="158"/>
      <c r="AT26" s="158"/>
      <c r="AU26" s="158"/>
      <c r="AV26" s="165"/>
      <c r="AW26" s="169"/>
      <c r="AX26" s="165"/>
      <c r="AY26" s="165"/>
      <c r="AZ26" s="165"/>
      <c r="BA26" s="165"/>
      <c r="BB26" s="165"/>
      <c r="BC26" s="169"/>
      <c r="BD26" s="169"/>
      <c r="BE26" s="169"/>
      <c r="BF26" s="165"/>
      <c r="BK26" s="529"/>
      <c r="BL26" s="165"/>
      <c r="BM26" s="165"/>
      <c r="BN26" s="165"/>
      <c r="BO26" s="165"/>
      <c r="BP26" s="165"/>
      <c r="BQ26" s="165"/>
      <c r="BR26" s="165"/>
      <c r="BS26" s="165"/>
      <c r="BT26" s="183"/>
      <c r="BY26" s="7"/>
    </row>
    <row r="27" ht="65.25" customHeight="1" spans="1:77">
      <c r="A27" s="23">
        <f>SUBTOTAL(3,C$8:C27)</f>
        <v>13</v>
      </c>
      <c r="B27" s="233" t="s">
        <v>875</v>
      </c>
      <c r="C27" s="87" t="s">
        <v>810</v>
      </c>
      <c r="D27" s="86" t="s">
        <v>876</v>
      </c>
      <c r="E27" s="87" t="s">
        <v>812</v>
      </c>
      <c r="F27" s="234">
        <v>10000</v>
      </c>
      <c r="G27" s="234">
        <v>5075</v>
      </c>
      <c r="H27" s="81" t="s">
        <v>122</v>
      </c>
      <c r="I27" s="37">
        <v>2500</v>
      </c>
      <c r="J27" s="37">
        <v>4925</v>
      </c>
      <c r="K27" s="37">
        <v>4925</v>
      </c>
      <c r="L27" s="234">
        <v>4925</v>
      </c>
      <c r="M27" s="36">
        <v>12000</v>
      </c>
      <c r="N27" s="61"/>
      <c r="O27" s="36"/>
      <c r="P27" s="125" t="s">
        <v>2589</v>
      </c>
      <c r="Q27" s="125" t="s">
        <v>2590</v>
      </c>
      <c r="R27" s="253">
        <v>20</v>
      </c>
      <c r="S27" s="253">
        <v>20</v>
      </c>
      <c r="T27" s="253"/>
      <c r="U27" s="253"/>
      <c r="V27" s="253"/>
      <c r="W27" s="253"/>
      <c r="X27" s="253"/>
      <c r="Y27" s="253"/>
      <c r="Z27" s="253"/>
      <c r="AA27" s="253"/>
      <c r="AB27" s="253"/>
      <c r="AC27" s="253"/>
      <c r="AD27" s="253">
        <v>4900</v>
      </c>
      <c r="AE27" s="253"/>
      <c r="AF27" s="253"/>
      <c r="AG27" s="253">
        <v>4900</v>
      </c>
      <c r="AH27" s="253"/>
      <c r="AI27" s="90"/>
      <c r="AJ27" s="112" t="s">
        <v>117</v>
      </c>
      <c r="AK27" s="86" t="s">
        <v>877</v>
      </c>
      <c r="AL27" s="87" t="s">
        <v>2591</v>
      </c>
      <c r="AM27" s="35" t="s">
        <v>359</v>
      </c>
      <c r="AN27" s="91"/>
      <c r="AO27" s="162"/>
      <c r="AP27" s="157"/>
      <c r="AQ27" s="158" t="s">
        <v>360</v>
      </c>
      <c r="AR27" s="158" t="s">
        <v>91</v>
      </c>
      <c r="AS27" s="158" t="str">
        <f t="shared" ref="AS27:AS29" si="37">AR27&amp;AQ27</f>
        <v>工业钦南区</v>
      </c>
      <c r="AT27" s="158" t="str">
        <f t="shared" ref="AT27:AT29" si="38">AR27</f>
        <v>工业</v>
      </c>
      <c r="AU27" s="158"/>
      <c r="AV27" s="157"/>
      <c r="AW27" s="272"/>
      <c r="AX27" s="160"/>
      <c r="AY27" s="157"/>
      <c r="AZ27" s="157"/>
      <c r="BA27" s="157"/>
      <c r="BB27" s="157"/>
      <c r="BC27" s="157"/>
      <c r="BD27" s="157"/>
      <c r="BE27" s="157"/>
      <c r="BF27" s="157"/>
      <c r="BG27" s="7" t="s">
        <v>92</v>
      </c>
      <c r="BH27" s="7" t="s">
        <v>93</v>
      </c>
      <c r="BI27" s="204" t="str">
        <f t="shared" ref="BI27:BI29" si="39">BG27&amp;AM27</f>
        <v>企业钦南区人民政府</v>
      </c>
      <c r="BJ27" s="204" t="str">
        <f t="shared" ref="BJ27:BJ29" si="40">BH27&amp;AM27</f>
        <v>产业钦南区人民政府</v>
      </c>
      <c r="BK27" s="205">
        <f t="shared" ref="BK27:BK29" si="41">IF(N27&gt;0,1,0)</f>
        <v>0</v>
      </c>
      <c r="BL27" s="157" t="str">
        <f t="shared" ref="BL27:BL29" si="42">IF(L27&lt;1000,"",AS27&amp;"1000")</f>
        <v>工业钦南区1000</v>
      </c>
      <c r="BM27" s="157" t="str">
        <f t="shared" ref="BM27:BM29" si="43">IF(L27&lt;2000,"",AS27&amp;"2000")</f>
        <v>工业钦南区2000</v>
      </c>
      <c r="BN27" s="157" t="str">
        <f t="shared" ref="BN27:BN29" si="44">IF(L27&lt;5000,"",AS27&amp;"5000")</f>
        <v/>
      </c>
      <c r="BO27" s="157">
        <f t="shared" ref="BO27:BO29" si="45">IF(R27&gt;0,1,0)</f>
        <v>1</v>
      </c>
      <c r="BP27" s="157">
        <f t="shared" ref="BP27:BP29" si="46">IF(X27&gt;0,1,0)</f>
        <v>0</v>
      </c>
      <c r="BQ27" s="157">
        <f t="shared" ref="BQ27:BQ29" si="47">IF(U27&gt;0,1,0)</f>
        <v>0</v>
      </c>
      <c r="BR27" s="157">
        <f t="shared" ref="BR27:BR29" si="48">IF(AA27&gt;0,1,0)</f>
        <v>0</v>
      </c>
      <c r="BS27" s="157">
        <f t="shared" ref="BS27:BS29" si="49">IF(AD27&gt;0,1,0)</f>
        <v>1</v>
      </c>
      <c r="BT27" s="181"/>
      <c r="BU27" s="206"/>
      <c r="BY27" s="7"/>
    </row>
    <row r="28" ht="62.25" customHeight="1" spans="1:77">
      <c r="A28" s="23">
        <f>SUBTOTAL(3,C$8:C28)</f>
        <v>14</v>
      </c>
      <c r="B28" s="233" t="s">
        <v>878</v>
      </c>
      <c r="C28" s="87" t="s">
        <v>810</v>
      </c>
      <c r="D28" s="86" t="s">
        <v>879</v>
      </c>
      <c r="E28" s="87" t="s">
        <v>812</v>
      </c>
      <c r="F28" s="234">
        <v>10600</v>
      </c>
      <c r="G28" s="234">
        <v>9560</v>
      </c>
      <c r="H28" s="81" t="s">
        <v>122</v>
      </c>
      <c r="I28" s="37">
        <v>520</v>
      </c>
      <c r="J28" s="37">
        <v>1040</v>
      </c>
      <c r="K28" s="37">
        <v>1040</v>
      </c>
      <c r="L28" s="234">
        <v>1040</v>
      </c>
      <c r="M28" s="36">
        <v>10000</v>
      </c>
      <c r="N28" s="61"/>
      <c r="O28" s="36"/>
      <c r="P28" s="125" t="s">
        <v>2592</v>
      </c>
      <c r="Q28" s="112" t="s">
        <v>117</v>
      </c>
      <c r="R28" s="132">
        <v>20</v>
      </c>
      <c r="S28" s="132">
        <v>20</v>
      </c>
      <c r="T28" s="132"/>
      <c r="U28" s="132">
        <v>20</v>
      </c>
      <c r="V28" s="132">
        <v>20</v>
      </c>
      <c r="W28" s="132"/>
      <c r="X28" s="132"/>
      <c r="Y28" s="132"/>
      <c r="Z28" s="132"/>
      <c r="AA28" s="132"/>
      <c r="AB28" s="253"/>
      <c r="AC28" s="132"/>
      <c r="AD28" s="253">
        <v>1040</v>
      </c>
      <c r="AE28" s="253"/>
      <c r="AF28" s="253"/>
      <c r="AG28" s="253">
        <v>1040</v>
      </c>
      <c r="AH28" s="132"/>
      <c r="AI28" s="90"/>
      <c r="AJ28" s="112" t="s">
        <v>117</v>
      </c>
      <c r="AK28" s="86" t="s">
        <v>880</v>
      </c>
      <c r="AL28" s="87" t="s">
        <v>2593</v>
      </c>
      <c r="AM28" s="35" t="s">
        <v>359</v>
      </c>
      <c r="AN28" s="91"/>
      <c r="AO28" s="162"/>
      <c r="AP28" s="157"/>
      <c r="AQ28" s="158" t="s">
        <v>360</v>
      </c>
      <c r="AR28" s="158" t="s">
        <v>91</v>
      </c>
      <c r="AS28" s="158" t="str">
        <f t="shared" si="37"/>
        <v>工业钦南区</v>
      </c>
      <c r="AT28" s="158" t="str">
        <f t="shared" si="38"/>
        <v>工业</v>
      </c>
      <c r="AU28" s="158"/>
      <c r="AV28" s="157"/>
      <c r="AW28" s="272"/>
      <c r="AX28" s="160"/>
      <c r="AY28" s="157"/>
      <c r="AZ28" s="157"/>
      <c r="BA28" s="157"/>
      <c r="BB28" s="157"/>
      <c r="BC28" s="157"/>
      <c r="BD28" s="157"/>
      <c r="BE28" s="157"/>
      <c r="BF28" s="157"/>
      <c r="BG28" s="7" t="s">
        <v>92</v>
      </c>
      <c r="BH28" s="7" t="s">
        <v>93</v>
      </c>
      <c r="BI28" s="204" t="str">
        <f t="shared" si="39"/>
        <v>企业钦南区人民政府</v>
      </c>
      <c r="BJ28" s="204" t="str">
        <f t="shared" si="40"/>
        <v>产业钦南区人民政府</v>
      </c>
      <c r="BK28" s="205">
        <f t="shared" si="41"/>
        <v>0</v>
      </c>
      <c r="BL28" s="157" t="str">
        <f t="shared" si="42"/>
        <v>工业钦南区1000</v>
      </c>
      <c r="BM28" s="157" t="str">
        <f t="shared" si="43"/>
        <v/>
      </c>
      <c r="BN28" s="157" t="str">
        <f t="shared" si="44"/>
        <v/>
      </c>
      <c r="BO28" s="157">
        <f t="shared" si="45"/>
        <v>1</v>
      </c>
      <c r="BP28" s="157">
        <f t="shared" si="46"/>
        <v>0</v>
      </c>
      <c r="BQ28" s="157">
        <f t="shared" si="47"/>
        <v>1</v>
      </c>
      <c r="BR28" s="157">
        <f t="shared" si="48"/>
        <v>0</v>
      </c>
      <c r="BS28" s="157">
        <f t="shared" si="49"/>
        <v>1</v>
      </c>
      <c r="BT28" s="181"/>
      <c r="BU28" s="206"/>
      <c r="BY28" s="7"/>
    </row>
    <row r="29" ht="57" customHeight="1" spans="1:77">
      <c r="A29" s="23">
        <f>SUBTOTAL(3,C$8:C29)</f>
        <v>15</v>
      </c>
      <c r="B29" s="233" t="s">
        <v>881</v>
      </c>
      <c r="C29" s="87" t="s">
        <v>810</v>
      </c>
      <c r="D29" s="86" t="s">
        <v>882</v>
      </c>
      <c r="E29" s="87" t="s">
        <v>812</v>
      </c>
      <c r="F29" s="234">
        <v>10000</v>
      </c>
      <c r="G29" s="234">
        <v>9000</v>
      </c>
      <c r="H29" s="81" t="s">
        <v>131</v>
      </c>
      <c r="I29" s="37">
        <v>100</v>
      </c>
      <c r="J29" s="37">
        <v>650</v>
      </c>
      <c r="K29" s="37">
        <v>890</v>
      </c>
      <c r="L29" s="234">
        <v>1000</v>
      </c>
      <c r="M29" s="36">
        <v>10000</v>
      </c>
      <c r="N29" s="36"/>
      <c r="O29" s="36"/>
      <c r="P29" s="125" t="s">
        <v>2594</v>
      </c>
      <c r="Q29" s="112" t="s">
        <v>117</v>
      </c>
      <c r="R29" s="132">
        <v>68.856</v>
      </c>
      <c r="S29" s="132">
        <v>68.856</v>
      </c>
      <c r="T29" s="132"/>
      <c r="U29" s="132">
        <v>2.151</v>
      </c>
      <c r="V29" s="132">
        <v>2.151</v>
      </c>
      <c r="W29" s="132"/>
      <c r="X29" s="132"/>
      <c r="Y29" s="132"/>
      <c r="Z29" s="132"/>
      <c r="AA29" s="132"/>
      <c r="AB29" s="253"/>
      <c r="AC29" s="132"/>
      <c r="AD29" s="253">
        <v>1000</v>
      </c>
      <c r="AE29" s="253"/>
      <c r="AF29" s="253"/>
      <c r="AG29" s="253">
        <v>1000</v>
      </c>
      <c r="AH29" s="132"/>
      <c r="AI29" s="90"/>
      <c r="AJ29" s="125" t="s">
        <v>883</v>
      </c>
      <c r="AK29" s="86" t="s">
        <v>884</v>
      </c>
      <c r="AL29" s="87" t="s">
        <v>2595</v>
      </c>
      <c r="AM29" s="35" t="s">
        <v>359</v>
      </c>
      <c r="AN29" s="91"/>
      <c r="AO29" s="162"/>
      <c r="AP29" s="157"/>
      <c r="AQ29" s="158" t="s">
        <v>360</v>
      </c>
      <c r="AR29" s="158" t="s">
        <v>91</v>
      </c>
      <c r="AS29" s="158" t="str">
        <f t="shared" si="37"/>
        <v>工业钦南区</v>
      </c>
      <c r="AT29" s="158" t="str">
        <f t="shared" si="38"/>
        <v>工业</v>
      </c>
      <c r="AU29" s="158"/>
      <c r="AV29" s="157"/>
      <c r="AW29" s="159"/>
      <c r="AX29" s="160"/>
      <c r="AY29" s="157"/>
      <c r="AZ29" s="157"/>
      <c r="BA29" s="157"/>
      <c r="BB29" s="157"/>
      <c r="BC29" s="157"/>
      <c r="BD29" s="157"/>
      <c r="BE29" s="157"/>
      <c r="BF29" s="157"/>
      <c r="BG29" s="7" t="s">
        <v>92</v>
      </c>
      <c r="BH29" s="7" t="s">
        <v>93</v>
      </c>
      <c r="BI29" s="204" t="str">
        <f t="shared" si="39"/>
        <v>企业钦南区人民政府</v>
      </c>
      <c r="BJ29" s="204" t="str">
        <f t="shared" si="40"/>
        <v>产业钦南区人民政府</v>
      </c>
      <c r="BK29" s="205">
        <f t="shared" si="41"/>
        <v>0</v>
      </c>
      <c r="BL29" s="157" t="str">
        <f t="shared" si="42"/>
        <v>工业钦南区1000</v>
      </c>
      <c r="BM29" s="157" t="str">
        <f t="shared" si="43"/>
        <v/>
      </c>
      <c r="BN29" s="157" t="str">
        <f t="shared" si="44"/>
        <v/>
      </c>
      <c r="BO29" s="157">
        <f t="shared" si="45"/>
        <v>1</v>
      </c>
      <c r="BP29" s="157">
        <f t="shared" si="46"/>
        <v>0</v>
      </c>
      <c r="BQ29" s="157">
        <f t="shared" si="47"/>
        <v>1</v>
      </c>
      <c r="BR29" s="157">
        <f t="shared" si="48"/>
        <v>0</v>
      </c>
      <c r="BS29" s="157">
        <f t="shared" si="49"/>
        <v>1</v>
      </c>
      <c r="BT29" s="181"/>
      <c r="BU29" s="206"/>
      <c r="BY29" s="7"/>
    </row>
    <row r="30" s="9" customFormat="1" ht="27.6" customHeight="1" spans="1:77">
      <c r="A30" s="551"/>
      <c r="B30" s="557" t="str">
        <f>"钦北区（"&amp;SUBTOTAL(3,C31:C34)&amp;"个）"</f>
        <v>钦北区（4个）</v>
      </c>
      <c r="C30" s="551"/>
      <c r="D30" s="555"/>
      <c r="E30" s="551"/>
      <c r="F30" s="134">
        <f t="shared" ref="F30:M30" si="50">SUBTOTAL(9,F31:F34)</f>
        <v>39028</v>
      </c>
      <c r="G30" s="134">
        <f t="shared" si="50"/>
        <v>23200</v>
      </c>
      <c r="H30" s="134"/>
      <c r="I30" s="134">
        <f t="shared" si="50"/>
        <v>4000</v>
      </c>
      <c r="J30" s="134">
        <f t="shared" si="50"/>
        <v>7700</v>
      </c>
      <c r="K30" s="134">
        <f t="shared" si="50"/>
        <v>11700</v>
      </c>
      <c r="L30" s="134">
        <f t="shared" si="50"/>
        <v>15828</v>
      </c>
      <c r="M30" s="134">
        <f t="shared" si="50"/>
        <v>16200</v>
      </c>
      <c r="N30" s="134"/>
      <c r="O30" s="134"/>
      <c r="P30" s="244"/>
      <c r="Q30" s="112"/>
      <c r="R30" s="132"/>
      <c r="S30" s="132"/>
      <c r="T30" s="132"/>
      <c r="U30" s="132"/>
      <c r="V30" s="132"/>
      <c r="W30" s="132"/>
      <c r="X30" s="132"/>
      <c r="Y30" s="132"/>
      <c r="Z30" s="132"/>
      <c r="AA30" s="132"/>
      <c r="AB30" s="132"/>
      <c r="AC30" s="132"/>
      <c r="AD30" s="132"/>
      <c r="AE30" s="132"/>
      <c r="AF30" s="132"/>
      <c r="AG30" s="132"/>
      <c r="AH30" s="132"/>
      <c r="AI30" s="90"/>
      <c r="AJ30" s="112"/>
      <c r="AK30" s="591"/>
      <c r="AL30" s="134"/>
      <c r="AM30" s="134"/>
      <c r="AN30" s="91"/>
      <c r="AO30" s="272"/>
      <c r="AP30" s="165"/>
      <c r="AQ30" s="158"/>
      <c r="AR30" s="158"/>
      <c r="AS30" s="158"/>
      <c r="AT30" s="158"/>
      <c r="AU30" s="158"/>
      <c r="AV30" s="165"/>
      <c r="AW30" s="169"/>
      <c r="AX30" s="165"/>
      <c r="AY30" s="165"/>
      <c r="AZ30" s="165"/>
      <c r="BA30" s="165"/>
      <c r="BB30" s="165"/>
      <c r="BC30" s="169"/>
      <c r="BD30" s="169"/>
      <c r="BE30" s="169"/>
      <c r="BF30" s="165"/>
      <c r="BK30" s="529"/>
      <c r="BL30" s="165"/>
      <c r="BM30" s="165"/>
      <c r="BN30" s="165"/>
      <c r="BO30" s="165"/>
      <c r="BP30" s="165"/>
      <c r="BQ30" s="165"/>
      <c r="BR30" s="165"/>
      <c r="BS30" s="165"/>
      <c r="BT30" s="183"/>
      <c r="BY30" s="7"/>
    </row>
    <row r="31" s="6" customFormat="1" ht="93" customHeight="1" spans="1:84">
      <c r="A31" s="23">
        <f>SUBTOTAL(3,C$8:C31)</f>
        <v>16</v>
      </c>
      <c r="B31" s="246" t="s">
        <v>885</v>
      </c>
      <c r="C31" s="246" t="s">
        <v>810</v>
      </c>
      <c r="D31" s="246" t="s">
        <v>886</v>
      </c>
      <c r="E31" s="23" t="s">
        <v>812</v>
      </c>
      <c r="F31" s="247">
        <v>16000</v>
      </c>
      <c r="G31" s="36">
        <v>12600</v>
      </c>
      <c r="H31" s="81" t="s">
        <v>113</v>
      </c>
      <c r="I31" s="578">
        <v>1000</v>
      </c>
      <c r="J31" s="578">
        <v>2000</v>
      </c>
      <c r="K31" s="578">
        <v>3400</v>
      </c>
      <c r="L31" s="36">
        <v>3400</v>
      </c>
      <c r="M31" s="36">
        <v>10000</v>
      </c>
      <c r="N31" s="36"/>
      <c r="O31" s="36"/>
      <c r="P31" s="112"/>
      <c r="Q31" s="112"/>
      <c r="R31" s="132"/>
      <c r="S31" s="132"/>
      <c r="T31" s="132"/>
      <c r="U31" s="132"/>
      <c r="V31" s="132"/>
      <c r="W31" s="132"/>
      <c r="X31" s="132"/>
      <c r="Y31" s="132"/>
      <c r="Z31" s="132"/>
      <c r="AA31" s="132"/>
      <c r="AB31" s="132"/>
      <c r="AC31" s="132"/>
      <c r="AD31" s="132"/>
      <c r="AE31" s="132"/>
      <c r="AF31" s="132"/>
      <c r="AG31" s="132"/>
      <c r="AH31" s="132"/>
      <c r="AI31" s="90"/>
      <c r="AJ31" s="112" t="s">
        <v>887</v>
      </c>
      <c r="AK31" s="592" t="s">
        <v>888</v>
      </c>
      <c r="AL31" s="268" t="s">
        <v>2596</v>
      </c>
      <c r="AM31" s="35" t="s">
        <v>375</v>
      </c>
      <c r="AN31" s="91"/>
      <c r="AO31" s="162"/>
      <c r="AP31" s="157"/>
      <c r="AQ31" s="158" t="s">
        <v>376</v>
      </c>
      <c r="AR31" s="158" t="s">
        <v>91</v>
      </c>
      <c r="AS31" s="158" t="str">
        <f t="shared" ref="AS31:AS34" si="51">AR31&amp;AQ31</f>
        <v>工业钦北区</v>
      </c>
      <c r="AT31" s="158" t="str">
        <f t="shared" ref="AT31:AT34" si="52">AR31</f>
        <v>工业</v>
      </c>
      <c r="AU31" s="158"/>
      <c r="AV31" s="157"/>
      <c r="AW31" s="272"/>
      <c r="AX31" s="160"/>
      <c r="AY31" s="157"/>
      <c r="AZ31" s="157"/>
      <c r="BA31" s="157"/>
      <c r="BB31" s="157"/>
      <c r="BC31" s="157"/>
      <c r="BD31" s="157"/>
      <c r="BE31" s="157"/>
      <c r="BF31" s="157"/>
      <c r="BG31" s="7" t="s">
        <v>92</v>
      </c>
      <c r="BH31" s="7" t="s">
        <v>93</v>
      </c>
      <c r="BI31" s="204" t="str">
        <f t="shared" ref="BI31:BI34" si="53">BG31&amp;AM31</f>
        <v>企业钦北区人民政府</v>
      </c>
      <c r="BJ31" s="204" t="str">
        <f t="shared" ref="BJ31:BJ34" si="54">BH31&amp;AM31</f>
        <v>产业钦北区人民政府</v>
      </c>
      <c r="BK31" s="205">
        <f t="shared" ref="BK31:BK34" si="55">IF(N31&gt;0,1,0)</f>
        <v>0</v>
      </c>
      <c r="BL31" s="157" t="str">
        <f t="shared" ref="BL31:BL34" si="56">IF(L31&lt;1000,"",AS31&amp;"1000")</f>
        <v>工业钦北区1000</v>
      </c>
      <c r="BM31" s="157" t="str">
        <f t="shared" ref="BM31:BM34" si="57">IF(L31&lt;2000,"",AS31&amp;"2000")</f>
        <v>工业钦北区2000</v>
      </c>
      <c r="BN31" s="157" t="str">
        <f t="shared" ref="BN31:BN34" si="58">IF(L31&lt;5000,"",AS31&amp;"5000")</f>
        <v/>
      </c>
      <c r="BO31" s="157">
        <f t="shared" ref="BO31:BO34" si="59">IF(R31&gt;0,1,0)</f>
        <v>0</v>
      </c>
      <c r="BP31" s="157">
        <f t="shared" ref="BP31:BP34" si="60">IF(X31&gt;0,1,0)</f>
        <v>0</v>
      </c>
      <c r="BQ31" s="157">
        <f t="shared" ref="BQ31:BQ34" si="61">IF(U31&gt;0,1,0)</f>
        <v>0</v>
      </c>
      <c r="BR31" s="157">
        <f t="shared" ref="BR31:BR34" si="62">IF(AA31&gt;0,1,0)</f>
        <v>0</v>
      </c>
      <c r="BS31" s="157">
        <f t="shared" ref="BS31:BS34" si="63">IF(AD31&gt;0,1,0)</f>
        <v>0</v>
      </c>
      <c r="BT31" s="157"/>
      <c r="BU31" s="206"/>
      <c r="BV31" s="7"/>
      <c r="BW31" s="206"/>
      <c r="BX31" s="206"/>
      <c r="BY31" s="7"/>
      <c r="BZ31" s="206"/>
      <c r="CA31" s="206"/>
      <c r="CB31" s="7"/>
      <c r="CC31" s="7"/>
      <c r="CD31" s="7"/>
      <c r="CE31" s="7"/>
      <c r="CF31" s="7"/>
    </row>
    <row r="32" s="6" customFormat="1" ht="62.25" customHeight="1" spans="1:84">
      <c r="A32" s="23">
        <f>SUBTOTAL(3,C$8:C32)</f>
        <v>17</v>
      </c>
      <c r="B32" s="248" t="s">
        <v>889</v>
      </c>
      <c r="C32" s="246" t="s">
        <v>810</v>
      </c>
      <c r="D32" s="88" t="s">
        <v>890</v>
      </c>
      <c r="E32" s="23" t="s">
        <v>812</v>
      </c>
      <c r="F32" s="247">
        <v>11000</v>
      </c>
      <c r="G32" s="36">
        <v>6600</v>
      </c>
      <c r="H32" s="81" t="s">
        <v>283</v>
      </c>
      <c r="I32" s="578">
        <v>1000</v>
      </c>
      <c r="J32" s="578">
        <v>1000</v>
      </c>
      <c r="K32" s="578">
        <v>2000</v>
      </c>
      <c r="L32" s="36">
        <v>4400</v>
      </c>
      <c r="M32" s="36">
        <v>5000</v>
      </c>
      <c r="N32" s="36"/>
      <c r="O32" s="36"/>
      <c r="P32" s="112"/>
      <c r="Q32" s="112"/>
      <c r="R32" s="132"/>
      <c r="S32" s="132"/>
      <c r="T32" s="132"/>
      <c r="U32" s="132"/>
      <c r="V32" s="132"/>
      <c r="W32" s="132"/>
      <c r="X32" s="132"/>
      <c r="Y32" s="132"/>
      <c r="Z32" s="132"/>
      <c r="AA32" s="132"/>
      <c r="AB32" s="132"/>
      <c r="AC32" s="132"/>
      <c r="AD32" s="132"/>
      <c r="AE32" s="132"/>
      <c r="AF32" s="132"/>
      <c r="AG32" s="132"/>
      <c r="AH32" s="132"/>
      <c r="AI32" s="90"/>
      <c r="AJ32" s="112" t="s">
        <v>117</v>
      </c>
      <c r="AK32" s="34" t="s">
        <v>891</v>
      </c>
      <c r="AL32" s="35" t="s">
        <v>2597</v>
      </c>
      <c r="AM32" s="35" t="s">
        <v>375</v>
      </c>
      <c r="AN32" s="91"/>
      <c r="AO32" s="162"/>
      <c r="AP32" s="157"/>
      <c r="AQ32" s="158" t="s">
        <v>376</v>
      </c>
      <c r="AR32" s="158" t="s">
        <v>91</v>
      </c>
      <c r="AS32" s="158" t="str">
        <f t="shared" si="51"/>
        <v>工业钦北区</v>
      </c>
      <c r="AT32" s="158" t="str">
        <f t="shared" si="52"/>
        <v>工业</v>
      </c>
      <c r="AU32" s="158"/>
      <c r="AV32" s="157"/>
      <c r="AW32" s="272"/>
      <c r="AX32" s="160"/>
      <c r="AY32" s="157"/>
      <c r="AZ32" s="157"/>
      <c r="BA32" s="157"/>
      <c r="BB32" s="157"/>
      <c r="BC32" s="157"/>
      <c r="BD32" s="157"/>
      <c r="BE32" s="157"/>
      <c r="BF32" s="157"/>
      <c r="BG32" s="7" t="s">
        <v>92</v>
      </c>
      <c r="BH32" s="7" t="s">
        <v>93</v>
      </c>
      <c r="BI32" s="204" t="str">
        <f t="shared" si="53"/>
        <v>企业钦北区人民政府</v>
      </c>
      <c r="BJ32" s="204" t="str">
        <f t="shared" si="54"/>
        <v>产业钦北区人民政府</v>
      </c>
      <c r="BK32" s="205">
        <f t="shared" si="55"/>
        <v>0</v>
      </c>
      <c r="BL32" s="157" t="str">
        <f t="shared" si="56"/>
        <v>工业钦北区1000</v>
      </c>
      <c r="BM32" s="157" t="str">
        <f t="shared" si="57"/>
        <v>工业钦北区2000</v>
      </c>
      <c r="BN32" s="157" t="str">
        <f t="shared" si="58"/>
        <v/>
      </c>
      <c r="BO32" s="157">
        <f t="shared" si="59"/>
        <v>0</v>
      </c>
      <c r="BP32" s="157">
        <f t="shared" si="60"/>
        <v>0</v>
      </c>
      <c r="BQ32" s="157">
        <f t="shared" si="61"/>
        <v>0</v>
      </c>
      <c r="BR32" s="157">
        <f t="shared" si="62"/>
        <v>0</v>
      </c>
      <c r="BS32" s="157">
        <f t="shared" si="63"/>
        <v>0</v>
      </c>
      <c r="BT32" s="157"/>
      <c r="BU32" s="206"/>
      <c r="BV32" s="7"/>
      <c r="BW32" s="206"/>
      <c r="BX32" s="206"/>
      <c r="BY32" s="7"/>
      <c r="BZ32" s="206"/>
      <c r="CA32" s="206"/>
      <c r="CB32" s="7"/>
      <c r="CC32" s="7"/>
      <c r="CD32" s="7"/>
      <c r="CE32" s="7"/>
      <c r="CF32" s="7"/>
    </row>
    <row r="33" s="6" customFormat="1" ht="62.25" customHeight="1" spans="1:84">
      <c r="A33" s="23">
        <f>SUBTOTAL(3,C$8:C33)</f>
        <v>18</v>
      </c>
      <c r="B33" s="55" t="s">
        <v>892</v>
      </c>
      <c r="C33" s="35" t="s">
        <v>810</v>
      </c>
      <c r="D33" s="34" t="s">
        <v>893</v>
      </c>
      <c r="E33" s="35" t="s">
        <v>812</v>
      </c>
      <c r="F33" s="36">
        <v>7000</v>
      </c>
      <c r="G33" s="36">
        <v>4000</v>
      </c>
      <c r="H33" s="81" t="s">
        <v>209</v>
      </c>
      <c r="I33" s="37">
        <v>500</v>
      </c>
      <c r="J33" s="37">
        <v>1200</v>
      </c>
      <c r="K33" s="37">
        <v>1800</v>
      </c>
      <c r="L33" s="36">
        <v>3000</v>
      </c>
      <c r="M33" s="36">
        <v>600</v>
      </c>
      <c r="N33" s="36"/>
      <c r="O33" s="36"/>
      <c r="P33" s="112" t="s">
        <v>2598</v>
      </c>
      <c r="Q33" s="112" t="s">
        <v>117</v>
      </c>
      <c r="R33" s="132">
        <v>13</v>
      </c>
      <c r="S33" s="132">
        <v>13</v>
      </c>
      <c r="T33" s="132"/>
      <c r="U33" s="132"/>
      <c r="V33" s="132"/>
      <c r="W33" s="132"/>
      <c r="X33" s="132"/>
      <c r="Y33" s="132"/>
      <c r="Z33" s="132"/>
      <c r="AA33" s="132"/>
      <c r="AB33" s="132"/>
      <c r="AC33" s="132"/>
      <c r="AD33" s="132"/>
      <c r="AE33" s="132"/>
      <c r="AF33" s="132"/>
      <c r="AG33" s="132"/>
      <c r="AH33" s="132"/>
      <c r="AI33" s="90"/>
      <c r="AJ33" s="112" t="s">
        <v>117</v>
      </c>
      <c r="AK33" s="34" t="s">
        <v>894</v>
      </c>
      <c r="AL33" s="35" t="s">
        <v>2599</v>
      </c>
      <c r="AM33" s="35" t="s">
        <v>375</v>
      </c>
      <c r="AN33" s="91"/>
      <c r="AO33" s="162"/>
      <c r="AP33" s="157"/>
      <c r="AQ33" s="158" t="s">
        <v>376</v>
      </c>
      <c r="AR33" s="158" t="s">
        <v>91</v>
      </c>
      <c r="AS33" s="158" t="str">
        <f t="shared" si="51"/>
        <v>工业钦北区</v>
      </c>
      <c r="AT33" s="158" t="str">
        <f t="shared" si="52"/>
        <v>工业</v>
      </c>
      <c r="AU33" s="158"/>
      <c r="AV33" s="157"/>
      <c r="AW33" s="272"/>
      <c r="AX33" s="160"/>
      <c r="AY33" s="157"/>
      <c r="AZ33" s="157"/>
      <c r="BA33" s="157"/>
      <c r="BB33" s="157"/>
      <c r="BC33" s="157"/>
      <c r="BD33" s="157"/>
      <c r="BE33" s="157"/>
      <c r="BF33" s="157"/>
      <c r="BG33" s="7" t="s">
        <v>92</v>
      </c>
      <c r="BH33" s="7" t="s">
        <v>93</v>
      </c>
      <c r="BI33" s="204" t="str">
        <f t="shared" si="53"/>
        <v>企业钦北区人民政府</v>
      </c>
      <c r="BJ33" s="204" t="str">
        <f t="shared" si="54"/>
        <v>产业钦北区人民政府</v>
      </c>
      <c r="BK33" s="205">
        <f t="shared" si="55"/>
        <v>0</v>
      </c>
      <c r="BL33" s="157" t="str">
        <f t="shared" si="56"/>
        <v>工业钦北区1000</v>
      </c>
      <c r="BM33" s="157" t="str">
        <f t="shared" si="57"/>
        <v>工业钦北区2000</v>
      </c>
      <c r="BN33" s="157" t="str">
        <f t="shared" si="58"/>
        <v/>
      </c>
      <c r="BO33" s="157">
        <f t="shared" si="59"/>
        <v>1</v>
      </c>
      <c r="BP33" s="157">
        <f t="shared" si="60"/>
        <v>0</v>
      </c>
      <c r="BQ33" s="157">
        <f t="shared" si="61"/>
        <v>0</v>
      </c>
      <c r="BR33" s="157">
        <f t="shared" si="62"/>
        <v>0</v>
      </c>
      <c r="BS33" s="157">
        <f t="shared" si="63"/>
        <v>0</v>
      </c>
      <c r="BT33" s="157"/>
      <c r="BU33" s="206"/>
      <c r="BV33" s="7"/>
      <c r="BW33" s="206"/>
      <c r="BX33" s="206"/>
      <c r="BY33" s="7"/>
      <c r="BZ33" s="206"/>
      <c r="CA33" s="206"/>
      <c r="CB33" s="7"/>
      <c r="CC33" s="7"/>
      <c r="CD33" s="7"/>
      <c r="CE33" s="7"/>
      <c r="CF33" s="7"/>
    </row>
    <row r="34" s="6" customFormat="1" ht="62.25" customHeight="1" spans="1:84">
      <c r="A34" s="23">
        <f>SUBTOTAL(3,C$8:C34)</f>
        <v>19</v>
      </c>
      <c r="B34" s="55" t="s">
        <v>895</v>
      </c>
      <c r="C34" s="23" t="s">
        <v>810</v>
      </c>
      <c r="D34" s="55" t="s">
        <v>896</v>
      </c>
      <c r="E34" s="35">
        <v>2019</v>
      </c>
      <c r="F34" s="36">
        <v>5028</v>
      </c>
      <c r="G34" s="36"/>
      <c r="H34" s="81" t="s">
        <v>113</v>
      </c>
      <c r="I34" s="578">
        <v>1500</v>
      </c>
      <c r="J34" s="578">
        <v>3500</v>
      </c>
      <c r="K34" s="578">
        <v>4500</v>
      </c>
      <c r="L34" s="36">
        <v>5028</v>
      </c>
      <c r="M34" s="36">
        <v>600</v>
      </c>
      <c r="N34" s="36"/>
      <c r="O34" s="36"/>
      <c r="P34" s="112"/>
      <c r="Q34" s="112"/>
      <c r="R34" s="132"/>
      <c r="S34" s="132"/>
      <c r="T34" s="132"/>
      <c r="U34" s="132"/>
      <c r="V34" s="132"/>
      <c r="W34" s="132"/>
      <c r="X34" s="132"/>
      <c r="Y34" s="132"/>
      <c r="Z34" s="132"/>
      <c r="AA34" s="132"/>
      <c r="AB34" s="132"/>
      <c r="AC34" s="132"/>
      <c r="AD34" s="132"/>
      <c r="AE34" s="132"/>
      <c r="AF34" s="132"/>
      <c r="AG34" s="132"/>
      <c r="AH34" s="132"/>
      <c r="AI34" s="90"/>
      <c r="AJ34" s="112" t="s">
        <v>117</v>
      </c>
      <c r="AK34" s="34" t="s">
        <v>897</v>
      </c>
      <c r="AL34" s="35" t="s">
        <v>2600</v>
      </c>
      <c r="AM34" s="35" t="s">
        <v>375</v>
      </c>
      <c r="AN34" s="91"/>
      <c r="AO34" s="162"/>
      <c r="AP34" s="157"/>
      <c r="AQ34" s="158" t="s">
        <v>376</v>
      </c>
      <c r="AR34" s="158" t="s">
        <v>91</v>
      </c>
      <c r="AS34" s="158" t="str">
        <f t="shared" si="51"/>
        <v>工业钦北区</v>
      </c>
      <c r="AT34" s="158" t="str">
        <f t="shared" si="52"/>
        <v>工业</v>
      </c>
      <c r="AU34" s="158"/>
      <c r="AV34" s="157"/>
      <c r="AW34" s="272"/>
      <c r="AX34" s="160"/>
      <c r="AY34" s="157"/>
      <c r="AZ34" s="157"/>
      <c r="BA34" s="157"/>
      <c r="BB34" s="157"/>
      <c r="BC34" s="157"/>
      <c r="BD34" s="157"/>
      <c r="BE34" s="157"/>
      <c r="BF34" s="157"/>
      <c r="BG34" s="7" t="s">
        <v>92</v>
      </c>
      <c r="BH34" s="7" t="s">
        <v>93</v>
      </c>
      <c r="BI34" s="204" t="str">
        <f t="shared" si="53"/>
        <v>企业钦北区人民政府</v>
      </c>
      <c r="BJ34" s="204" t="str">
        <f t="shared" si="54"/>
        <v>产业钦北区人民政府</v>
      </c>
      <c r="BK34" s="205">
        <f t="shared" si="55"/>
        <v>0</v>
      </c>
      <c r="BL34" s="157" t="str">
        <f t="shared" si="56"/>
        <v>工业钦北区1000</v>
      </c>
      <c r="BM34" s="157" t="str">
        <f t="shared" si="57"/>
        <v>工业钦北区2000</v>
      </c>
      <c r="BN34" s="157" t="str">
        <f t="shared" si="58"/>
        <v>工业钦北区5000</v>
      </c>
      <c r="BO34" s="157">
        <f t="shared" si="59"/>
        <v>0</v>
      </c>
      <c r="BP34" s="157">
        <f t="shared" si="60"/>
        <v>0</v>
      </c>
      <c r="BQ34" s="157">
        <f t="shared" si="61"/>
        <v>0</v>
      </c>
      <c r="BR34" s="157">
        <f t="shared" si="62"/>
        <v>0</v>
      </c>
      <c r="BS34" s="157">
        <f t="shared" si="63"/>
        <v>0</v>
      </c>
      <c r="BT34" s="157"/>
      <c r="BU34" s="206"/>
      <c r="BV34" s="7"/>
      <c r="BW34" s="206"/>
      <c r="BX34" s="206"/>
      <c r="BY34" s="7"/>
      <c r="BZ34" s="206"/>
      <c r="CA34" s="206"/>
      <c r="CB34" s="7"/>
      <c r="CC34" s="7"/>
      <c r="CD34" s="7"/>
      <c r="CE34" s="7"/>
      <c r="CF34" s="7"/>
    </row>
    <row r="35" s="9" customFormat="1" ht="30" customHeight="1" spans="1:77">
      <c r="A35" s="551"/>
      <c r="B35" s="557" t="str">
        <f>"灵山县（"&amp;SUBTOTAL(3,C36)&amp;"个）"</f>
        <v>灵山县（1个）</v>
      </c>
      <c r="C35" s="551"/>
      <c r="D35" s="555"/>
      <c r="E35" s="551"/>
      <c r="F35" s="134">
        <f>SUBTOTAL(9,F36)</f>
        <v>3000</v>
      </c>
      <c r="G35" s="134">
        <f t="shared" ref="G35:M35" si="64">SUBTOTAL(9,G36)</f>
        <v>500</v>
      </c>
      <c r="H35" s="134"/>
      <c r="I35" s="134">
        <f t="shared" si="64"/>
        <v>2500</v>
      </c>
      <c r="J35" s="134">
        <f t="shared" si="64"/>
        <v>2500</v>
      </c>
      <c r="K35" s="134">
        <f t="shared" si="64"/>
        <v>2500</v>
      </c>
      <c r="L35" s="134">
        <f t="shared" si="64"/>
        <v>2500</v>
      </c>
      <c r="M35" s="134">
        <f t="shared" si="64"/>
        <v>8000</v>
      </c>
      <c r="N35" s="134"/>
      <c r="O35" s="134"/>
      <c r="P35" s="244"/>
      <c r="Q35" s="112"/>
      <c r="R35" s="132"/>
      <c r="S35" s="132"/>
      <c r="T35" s="132"/>
      <c r="U35" s="132"/>
      <c r="V35" s="132"/>
      <c r="W35" s="132"/>
      <c r="X35" s="132"/>
      <c r="Y35" s="132"/>
      <c r="Z35" s="132"/>
      <c r="AA35" s="132"/>
      <c r="AB35" s="132"/>
      <c r="AC35" s="132"/>
      <c r="AD35" s="132"/>
      <c r="AE35" s="132"/>
      <c r="AF35" s="132"/>
      <c r="AG35" s="132"/>
      <c r="AH35" s="132"/>
      <c r="AI35" s="90"/>
      <c r="AJ35" s="112"/>
      <c r="AK35" s="591"/>
      <c r="AL35" s="134"/>
      <c r="AM35" s="134"/>
      <c r="AN35" s="91"/>
      <c r="AO35" s="272"/>
      <c r="AP35" s="165"/>
      <c r="AQ35" s="158"/>
      <c r="AR35" s="158"/>
      <c r="AS35" s="158"/>
      <c r="AT35" s="158"/>
      <c r="AU35" s="158"/>
      <c r="AV35" s="165"/>
      <c r="AW35" s="169"/>
      <c r="AX35" s="165"/>
      <c r="AY35" s="165"/>
      <c r="AZ35" s="165"/>
      <c r="BA35" s="165"/>
      <c r="BB35" s="165"/>
      <c r="BC35" s="169"/>
      <c r="BD35" s="169"/>
      <c r="BE35" s="169"/>
      <c r="BF35" s="165"/>
      <c r="BK35" s="529"/>
      <c r="BL35" s="165"/>
      <c r="BM35" s="165"/>
      <c r="BN35" s="165"/>
      <c r="BO35" s="165"/>
      <c r="BP35" s="165"/>
      <c r="BQ35" s="165"/>
      <c r="BR35" s="165"/>
      <c r="BS35" s="165"/>
      <c r="BT35" s="183"/>
      <c r="BY35" s="7"/>
    </row>
    <row r="36" ht="62.25" customHeight="1" spans="1:77">
      <c r="A36" s="23">
        <f>SUBTOTAL(3,C$8:C36)</f>
        <v>20</v>
      </c>
      <c r="B36" s="559" t="s">
        <v>858</v>
      </c>
      <c r="C36" s="35" t="s">
        <v>79</v>
      </c>
      <c r="D36" s="270" t="s">
        <v>859</v>
      </c>
      <c r="E36" s="35">
        <v>2019</v>
      </c>
      <c r="F36" s="36">
        <v>3000</v>
      </c>
      <c r="G36" s="560">
        <v>500</v>
      </c>
      <c r="H36" s="83" t="s">
        <v>195</v>
      </c>
      <c r="I36" s="37">
        <v>2500</v>
      </c>
      <c r="J36" s="37">
        <v>2500</v>
      </c>
      <c r="K36" s="37">
        <v>2500</v>
      </c>
      <c r="L36" s="37">
        <v>2500</v>
      </c>
      <c r="M36" s="36">
        <v>8000</v>
      </c>
      <c r="N36" s="67"/>
      <c r="O36" s="67"/>
      <c r="P36" s="580"/>
      <c r="Q36" s="112"/>
      <c r="R36" s="132"/>
      <c r="S36" s="132"/>
      <c r="T36" s="132"/>
      <c r="U36" s="132"/>
      <c r="V36" s="132"/>
      <c r="W36" s="132"/>
      <c r="X36" s="132"/>
      <c r="Y36" s="132"/>
      <c r="Z36" s="132"/>
      <c r="AA36" s="132"/>
      <c r="AB36" s="132"/>
      <c r="AC36" s="132"/>
      <c r="AD36" s="132"/>
      <c r="AE36" s="132"/>
      <c r="AF36" s="132"/>
      <c r="AG36" s="132"/>
      <c r="AH36" s="132"/>
      <c r="AI36" s="90"/>
      <c r="AJ36" s="112" t="s">
        <v>117</v>
      </c>
      <c r="AK36" s="34" t="s">
        <v>860</v>
      </c>
      <c r="AL36" s="35" t="s">
        <v>2601</v>
      </c>
      <c r="AM36" s="34" t="s">
        <v>269</v>
      </c>
      <c r="AN36" s="91"/>
      <c r="AO36" s="162"/>
      <c r="AP36" s="157"/>
      <c r="AQ36" s="158" t="s">
        <v>270</v>
      </c>
      <c r="AR36" s="158" t="s">
        <v>91</v>
      </c>
      <c r="AS36" s="158" t="str">
        <f t="shared" ref="AS36:AS41" si="65">AR36&amp;AQ36</f>
        <v>工业灵山县</v>
      </c>
      <c r="AT36" s="158" t="str">
        <f t="shared" ref="AT36:AT41" si="66">AR36</f>
        <v>工业</v>
      </c>
      <c r="AU36" s="158"/>
      <c r="AV36" s="157"/>
      <c r="AW36" s="272"/>
      <c r="AX36" s="160"/>
      <c r="AY36" s="157"/>
      <c r="AZ36" s="157"/>
      <c r="BA36" s="157"/>
      <c r="BB36" s="157"/>
      <c r="BC36" s="157"/>
      <c r="BD36" s="157"/>
      <c r="BE36" s="157"/>
      <c r="BF36" s="157"/>
      <c r="BG36" s="7" t="s">
        <v>92</v>
      </c>
      <c r="BH36" s="7" t="s">
        <v>93</v>
      </c>
      <c r="BI36" s="204" t="str">
        <f t="shared" ref="BI36:BI41" si="67">BG36&amp;AM36</f>
        <v>企业灵山县人民政府</v>
      </c>
      <c r="BJ36" s="204" t="str">
        <f t="shared" ref="BJ36:BJ41" si="68">BH36&amp;AM36</f>
        <v>产业灵山县人民政府</v>
      </c>
      <c r="BK36" s="205">
        <f t="shared" ref="BK36:BK41" si="69">IF(N36&gt;0,1,0)</f>
        <v>0</v>
      </c>
      <c r="BL36" s="157" t="str">
        <f t="shared" ref="BL36:BL41" si="70">IF(L36&lt;1000,"",AS36&amp;"1000")</f>
        <v>工业灵山县1000</v>
      </c>
      <c r="BM36" s="157" t="str">
        <f t="shared" ref="BM36:BM41" si="71">IF(L36&lt;2000,"",AS36&amp;"2000")</f>
        <v>工业灵山县2000</v>
      </c>
      <c r="BN36" s="157" t="str">
        <f t="shared" ref="BN36:BN41" si="72">IF(L36&lt;5000,"",AS36&amp;"5000")</f>
        <v/>
      </c>
      <c r="BO36" s="157">
        <f t="shared" ref="BO36:BO41" si="73">IF(R36&gt;0,1,0)</f>
        <v>0</v>
      </c>
      <c r="BP36" s="157">
        <f t="shared" ref="BP36:BP41" si="74">IF(X36&gt;0,1,0)</f>
        <v>0</v>
      </c>
      <c r="BQ36" s="157">
        <f t="shared" ref="BQ36:BQ41" si="75">IF(U36&gt;0,1,0)</f>
        <v>0</v>
      </c>
      <c r="BR36" s="157">
        <f t="shared" ref="BR36:BR41" si="76">IF(AA36&gt;0,1,0)</f>
        <v>0</v>
      </c>
      <c r="BS36" s="157">
        <f t="shared" ref="BS36:BS41" si="77">IF(AD36&gt;0,1,0)</f>
        <v>0</v>
      </c>
      <c r="BT36" s="181"/>
      <c r="BU36" s="206"/>
      <c r="BY36" s="7"/>
    </row>
    <row r="37" s="9" customFormat="1" ht="30" customHeight="1" spans="1:77">
      <c r="A37" s="551"/>
      <c r="B37" s="557" t="str">
        <f>"浦北县（"&amp;SUBTOTAL(3,C38:C41)&amp;"个）"</f>
        <v>浦北县（4个）</v>
      </c>
      <c r="C37" s="551"/>
      <c r="D37" s="555"/>
      <c r="E37" s="551"/>
      <c r="F37" s="134">
        <f t="shared" ref="F37:M37" si="78">SUBTOTAL(9,F38:F41)</f>
        <v>28700</v>
      </c>
      <c r="G37" s="134">
        <f t="shared" si="78"/>
        <v>4200</v>
      </c>
      <c r="H37" s="134"/>
      <c r="I37" s="134">
        <f t="shared" si="78"/>
        <v>9600</v>
      </c>
      <c r="J37" s="134">
        <f t="shared" si="78"/>
        <v>16900</v>
      </c>
      <c r="K37" s="134">
        <f t="shared" si="78"/>
        <v>20900</v>
      </c>
      <c r="L37" s="134">
        <f t="shared" si="78"/>
        <v>24500</v>
      </c>
      <c r="M37" s="134">
        <f t="shared" si="78"/>
        <v>36000</v>
      </c>
      <c r="N37" s="134"/>
      <c r="O37" s="134"/>
      <c r="P37" s="244"/>
      <c r="Q37" s="112"/>
      <c r="R37" s="132"/>
      <c r="S37" s="132"/>
      <c r="T37" s="132"/>
      <c r="U37" s="132"/>
      <c r="V37" s="132"/>
      <c r="W37" s="132"/>
      <c r="X37" s="132"/>
      <c r="Y37" s="132"/>
      <c r="Z37" s="132"/>
      <c r="AA37" s="132"/>
      <c r="AB37" s="132"/>
      <c r="AC37" s="132"/>
      <c r="AD37" s="132"/>
      <c r="AE37" s="132"/>
      <c r="AF37" s="132"/>
      <c r="AG37" s="132"/>
      <c r="AH37" s="132"/>
      <c r="AI37" s="90"/>
      <c r="AJ37" s="112"/>
      <c r="AK37" s="591"/>
      <c r="AL37" s="134"/>
      <c r="AM37" s="134"/>
      <c r="AN37" s="91"/>
      <c r="AO37" s="272"/>
      <c r="AP37" s="165"/>
      <c r="AQ37" s="158"/>
      <c r="AR37" s="158"/>
      <c r="AS37" s="158"/>
      <c r="AT37" s="158"/>
      <c r="AU37" s="158"/>
      <c r="AV37" s="165"/>
      <c r="AW37" s="169"/>
      <c r="AX37" s="165"/>
      <c r="AY37" s="165"/>
      <c r="AZ37" s="165"/>
      <c r="BA37" s="165"/>
      <c r="BB37" s="165"/>
      <c r="BC37" s="169"/>
      <c r="BD37" s="169"/>
      <c r="BE37" s="169"/>
      <c r="BF37" s="165"/>
      <c r="BK37" s="529"/>
      <c r="BL37" s="165"/>
      <c r="BM37" s="165"/>
      <c r="BN37" s="165"/>
      <c r="BO37" s="165"/>
      <c r="BP37" s="165"/>
      <c r="BQ37" s="165"/>
      <c r="BR37" s="165"/>
      <c r="BS37" s="165"/>
      <c r="BT37" s="183"/>
      <c r="BY37" s="7"/>
    </row>
    <row r="38" ht="62.25" customHeight="1" spans="1:77">
      <c r="A38" s="23">
        <f>SUBTOTAL(3,C$8:C38)</f>
        <v>21</v>
      </c>
      <c r="B38" s="561" t="s">
        <v>861</v>
      </c>
      <c r="C38" s="35" t="s">
        <v>810</v>
      </c>
      <c r="D38" s="562" t="s">
        <v>862</v>
      </c>
      <c r="E38" s="35" t="s">
        <v>812</v>
      </c>
      <c r="F38" s="35">
        <v>12100</v>
      </c>
      <c r="G38" s="560">
        <v>1500</v>
      </c>
      <c r="H38" s="81" t="s">
        <v>263</v>
      </c>
      <c r="I38" s="37">
        <v>2000</v>
      </c>
      <c r="J38" s="37">
        <v>5000</v>
      </c>
      <c r="K38" s="37">
        <v>8000</v>
      </c>
      <c r="L38" s="560">
        <v>10600</v>
      </c>
      <c r="M38" s="560">
        <v>5000</v>
      </c>
      <c r="N38" s="67"/>
      <c r="O38" s="67"/>
      <c r="P38" s="580" t="s">
        <v>2602</v>
      </c>
      <c r="Q38" s="112" t="s">
        <v>2603</v>
      </c>
      <c r="R38" s="132">
        <v>54</v>
      </c>
      <c r="S38" s="132">
        <v>54</v>
      </c>
      <c r="T38" s="132"/>
      <c r="U38" s="132"/>
      <c r="V38" s="132"/>
      <c r="W38" s="132"/>
      <c r="X38" s="132"/>
      <c r="Y38" s="132"/>
      <c r="Z38" s="132"/>
      <c r="AA38" s="132"/>
      <c r="AB38" s="132"/>
      <c r="AC38" s="132"/>
      <c r="AD38" s="132"/>
      <c r="AE38" s="132"/>
      <c r="AF38" s="132"/>
      <c r="AG38" s="132"/>
      <c r="AH38" s="132"/>
      <c r="AI38" s="90"/>
      <c r="AJ38" s="112" t="s">
        <v>863</v>
      </c>
      <c r="AK38" s="123" t="s">
        <v>864</v>
      </c>
      <c r="AL38" s="67" t="s">
        <v>2604</v>
      </c>
      <c r="AM38" s="35" t="s">
        <v>317</v>
      </c>
      <c r="AN38" s="91"/>
      <c r="AO38" s="162"/>
      <c r="AP38" s="157"/>
      <c r="AQ38" s="158" t="s">
        <v>318</v>
      </c>
      <c r="AR38" s="158" t="s">
        <v>91</v>
      </c>
      <c r="AS38" s="158" t="str">
        <f t="shared" si="65"/>
        <v>工业浦北县</v>
      </c>
      <c r="AT38" s="158" t="str">
        <f t="shared" si="66"/>
        <v>工业</v>
      </c>
      <c r="AU38" s="158"/>
      <c r="AV38" s="157"/>
      <c r="AW38" s="272"/>
      <c r="AX38" s="160"/>
      <c r="AY38" s="157"/>
      <c r="AZ38" s="157"/>
      <c r="BA38" s="157"/>
      <c r="BB38" s="157"/>
      <c r="BC38" s="157"/>
      <c r="BD38" s="157"/>
      <c r="BE38" s="157"/>
      <c r="BF38" s="157"/>
      <c r="BG38" s="7" t="s">
        <v>92</v>
      </c>
      <c r="BH38" s="7" t="s">
        <v>93</v>
      </c>
      <c r="BI38" s="204" t="str">
        <f t="shared" si="67"/>
        <v>企业浦北县人民政府</v>
      </c>
      <c r="BJ38" s="204" t="str">
        <f t="shared" si="68"/>
        <v>产业浦北县人民政府</v>
      </c>
      <c r="BK38" s="205">
        <f t="shared" si="69"/>
        <v>0</v>
      </c>
      <c r="BL38" s="157" t="str">
        <f t="shared" si="70"/>
        <v>工业浦北县1000</v>
      </c>
      <c r="BM38" s="157" t="str">
        <f t="shared" si="71"/>
        <v>工业浦北县2000</v>
      </c>
      <c r="BN38" s="157" t="str">
        <f t="shared" si="72"/>
        <v>工业浦北县5000</v>
      </c>
      <c r="BO38" s="157">
        <f t="shared" si="73"/>
        <v>1</v>
      </c>
      <c r="BP38" s="157">
        <f t="shared" si="74"/>
        <v>0</v>
      </c>
      <c r="BQ38" s="157">
        <f t="shared" si="75"/>
        <v>0</v>
      </c>
      <c r="BR38" s="157">
        <f t="shared" si="76"/>
        <v>0</v>
      </c>
      <c r="BS38" s="157">
        <f t="shared" si="77"/>
        <v>0</v>
      </c>
      <c r="BT38" s="181"/>
      <c r="BU38" s="206"/>
      <c r="BY38" s="7"/>
    </row>
    <row r="39" ht="62.25" customHeight="1" spans="1:77">
      <c r="A39" s="23">
        <f>SUBTOTAL(3,C$8:C39)</f>
        <v>22</v>
      </c>
      <c r="B39" s="561" t="s">
        <v>865</v>
      </c>
      <c r="C39" s="35" t="s">
        <v>810</v>
      </c>
      <c r="D39" s="562" t="s">
        <v>866</v>
      </c>
      <c r="E39" s="35" t="s">
        <v>812</v>
      </c>
      <c r="F39" s="35">
        <v>6600</v>
      </c>
      <c r="G39" s="560">
        <v>1000</v>
      </c>
      <c r="H39" s="81" t="s">
        <v>122</v>
      </c>
      <c r="I39" s="37">
        <v>2600</v>
      </c>
      <c r="J39" s="37">
        <v>5600</v>
      </c>
      <c r="K39" s="37">
        <v>5600</v>
      </c>
      <c r="L39" s="560">
        <v>5600</v>
      </c>
      <c r="M39" s="560">
        <v>9000</v>
      </c>
      <c r="N39" s="67"/>
      <c r="O39" s="67"/>
      <c r="P39" s="580" t="s">
        <v>2605</v>
      </c>
      <c r="Q39" s="112" t="s">
        <v>117</v>
      </c>
      <c r="R39" s="132">
        <v>45</v>
      </c>
      <c r="S39" s="132">
        <v>45</v>
      </c>
      <c r="T39" s="132"/>
      <c r="U39" s="132"/>
      <c r="V39" s="132"/>
      <c r="W39" s="132"/>
      <c r="X39" s="132"/>
      <c r="Y39" s="132"/>
      <c r="Z39" s="132"/>
      <c r="AA39" s="132"/>
      <c r="AB39" s="132"/>
      <c r="AC39" s="132"/>
      <c r="AD39" s="132"/>
      <c r="AE39" s="132"/>
      <c r="AF39" s="132"/>
      <c r="AG39" s="132"/>
      <c r="AH39" s="132"/>
      <c r="AI39" s="90"/>
      <c r="AJ39" s="112" t="s">
        <v>867</v>
      </c>
      <c r="AK39" s="123" t="s">
        <v>868</v>
      </c>
      <c r="AL39" s="67" t="s">
        <v>2606</v>
      </c>
      <c r="AM39" s="35" t="s">
        <v>317</v>
      </c>
      <c r="AN39" s="91"/>
      <c r="AO39" s="162"/>
      <c r="AP39" s="157"/>
      <c r="AQ39" s="158" t="s">
        <v>318</v>
      </c>
      <c r="AR39" s="158" t="s">
        <v>91</v>
      </c>
      <c r="AS39" s="158" t="str">
        <f t="shared" si="65"/>
        <v>工业浦北县</v>
      </c>
      <c r="AT39" s="158" t="str">
        <f t="shared" si="66"/>
        <v>工业</v>
      </c>
      <c r="AU39" s="158"/>
      <c r="AV39" s="157"/>
      <c r="AW39" s="272"/>
      <c r="AX39" s="160"/>
      <c r="AY39" s="157"/>
      <c r="AZ39" s="157"/>
      <c r="BA39" s="157"/>
      <c r="BB39" s="157"/>
      <c r="BC39" s="157"/>
      <c r="BD39" s="157"/>
      <c r="BE39" s="157"/>
      <c r="BF39" s="157"/>
      <c r="BG39" s="7" t="s">
        <v>92</v>
      </c>
      <c r="BH39" s="7" t="s">
        <v>93</v>
      </c>
      <c r="BI39" s="204" t="str">
        <f t="shared" si="67"/>
        <v>企业浦北县人民政府</v>
      </c>
      <c r="BJ39" s="204" t="str">
        <f t="shared" si="68"/>
        <v>产业浦北县人民政府</v>
      </c>
      <c r="BK39" s="205">
        <f t="shared" si="69"/>
        <v>0</v>
      </c>
      <c r="BL39" s="157" t="str">
        <f t="shared" si="70"/>
        <v>工业浦北县1000</v>
      </c>
      <c r="BM39" s="157" t="str">
        <f t="shared" si="71"/>
        <v>工业浦北县2000</v>
      </c>
      <c r="BN39" s="157" t="str">
        <f t="shared" si="72"/>
        <v>工业浦北县5000</v>
      </c>
      <c r="BO39" s="157">
        <f t="shared" si="73"/>
        <v>1</v>
      </c>
      <c r="BP39" s="157">
        <f t="shared" si="74"/>
        <v>0</v>
      </c>
      <c r="BQ39" s="157">
        <f t="shared" si="75"/>
        <v>0</v>
      </c>
      <c r="BR39" s="157">
        <f t="shared" si="76"/>
        <v>0</v>
      </c>
      <c r="BS39" s="157">
        <f t="shared" si="77"/>
        <v>0</v>
      </c>
      <c r="BT39" s="181"/>
      <c r="BU39" s="206"/>
      <c r="BY39" s="7"/>
    </row>
    <row r="40" ht="62.25" customHeight="1" spans="1:77">
      <c r="A40" s="23">
        <f>SUBTOTAL(3,C$8:C40)</f>
        <v>23</v>
      </c>
      <c r="B40" s="561" t="s">
        <v>869</v>
      </c>
      <c r="C40" s="35" t="s">
        <v>810</v>
      </c>
      <c r="D40" s="562" t="s">
        <v>870</v>
      </c>
      <c r="E40" s="35" t="s">
        <v>812</v>
      </c>
      <c r="F40" s="35">
        <v>5000</v>
      </c>
      <c r="G40" s="560">
        <v>1000</v>
      </c>
      <c r="H40" s="81" t="s">
        <v>122</v>
      </c>
      <c r="I40" s="37">
        <v>1000</v>
      </c>
      <c r="J40" s="37">
        <v>2000</v>
      </c>
      <c r="K40" s="37">
        <v>3000</v>
      </c>
      <c r="L40" s="560">
        <v>4000</v>
      </c>
      <c r="M40" s="560">
        <v>7000</v>
      </c>
      <c r="N40" s="67"/>
      <c r="O40" s="67"/>
      <c r="P40" s="580" t="s">
        <v>2607</v>
      </c>
      <c r="Q40" s="112" t="s">
        <v>2608</v>
      </c>
      <c r="R40" s="132">
        <v>29</v>
      </c>
      <c r="S40" s="132">
        <v>29</v>
      </c>
      <c r="T40" s="132"/>
      <c r="U40" s="132"/>
      <c r="V40" s="132"/>
      <c r="W40" s="132"/>
      <c r="X40" s="132"/>
      <c r="Y40" s="132"/>
      <c r="Z40" s="132"/>
      <c r="AA40" s="132"/>
      <c r="AB40" s="132"/>
      <c r="AC40" s="132"/>
      <c r="AD40" s="132"/>
      <c r="AE40" s="132"/>
      <c r="AF40" s="132"/>
      <c r="AG40" s="132"/>
      <c r="AH40" s="132"/>
      <c r="AI40" s="90"/>
      <c r="AJ40" s="112" t="s">
        <v>117</v>
      </c>
      <c r="AK40" s="123" t="s">
        <v>871</v>
      </c>
      <c r="AL40" s="67" t="s">
        <v>2609</v>
      </c>
      <c r="AM40" s="35" t="s">
        <v>317</v>
      </c>
      <c r="AN40" s="91"/>
      <c r="AO40" s="162"/>
      <c r="AP40" s="157"/>
      <c r="AQ40" s="158" t="s">
        <v>318</v>
      </c>
      <c r="AR40" s="158" t="s">
        <v>91</v>
      </c>
      <c r="AS40" s="158" t="str">
        <f t="shared" si="65"/>
        <v>工业浦北县</v>
      </c>
      <c r="AT40" s="158" t="str">
        <f t="shared" si="66"/>
        <v>工业</v>
      </c>
      <c r="AU40" s="158"/>
      <c r="AV40" s="157"/>
      <c r="AW40" s="272"/>
      <c r="AX40" s="160"/>
      <c r="AY40" s="157"/>
      <c r="AZ40" s="157"/>
      <c r="BA40" s="157"/>
      <c r="BB40" s="157"/>
      <c r="BC40" s="157"/>
      <c r="BD40" s="157"/>
      <c r="BE40" s="157"/>
      <c r="BF40" s="157"/>
      <c r="BG40" s="7" t="s">
        <v>92</v>
      </c>
      <c r="BH40" s="7" t="s">
        <v>93</v>
      </c>
      <c r="BI40" s="204" t="str">
        <f t="shared" si="67"/>
        <v>企业浦北县人民政府</v>
      </c>
      <c r="BJ40" s="204" t="str">
        <f t="shared" si="68"/>
        <v>产业浦北县人民政府</v>
      </c>
      <c r="BK40" s="205">
        <f t="shared" si="69"/>
        <v>0</v>
      </c>
      <c r="BL40" s="157" t="str">
        <f t="shared" si="70"/>
        <v>工业浦北县1000</v>
      </c>
      <c r="BM40" s="157" t="str">
        <f t="shared" si="71"/>
        <v>工业浦北县2000</v>
      </c>
      <c r="BN40" s="157" t="str">
        <f t="shared" si="72"/>
        <v/>
      </c>
      <c r="BO40" s="157">
        <f t="shared" si="73"/>
        <v>1</v>
      </c>
      <c r="BP40" s="157">
        <f t="shared" si="74"/>
        <v>0</v>
      </c>
      <c r="BQ40" s="157">
        <f t="shared" si="75"/>
        <v>0</v>
      </c>
      <c r="BR40" s="157">
        <f t="shared" si="76"/>
        <v>0</v>
      </c>
      <c r="BS40" s="157">
        <f t="shared" si="77"/>
        <v>0</v>
      </c>
      <c r="BT40" s="181"/>
      <c r="BU40" s="206"/>
      <c r="BY40" s="7"/>
    </row>
    <row r="41" ht="62.25" customHeight="1" spans="1:77">
      <c r="A41" s="23">
        <f>SUBTOTAL(3,C$8:C41)</f>
        <v>24</v>
      </c>
      <c r="B41" s="561" t="s">
        <v>872</v>
      </c>
      <c r="C41" s="35" t="s">
        <v>810</v>
      </c>
      <c r="D41" s="562" t="s">
        <v>873</v>
      </c>
      <c r="E41" s="35" t="s">
        <v>812</v>
      </c>
      <c r="F41" s="35">
        <v>5000</v>
      </c>
      <c r="G41" s="560">
        <v>700</v>
      </c>
      <c r="H41" s="81" t="s">
        <v>177</v>
      </c>
      <c r="I41" s="37">
        <v>4000</v>
      </c>
      <c r="J41" s="37">
        <v>4300</v>
      </c>
      <c r="K41" s="37">
        <v>4300</v>
      </c>
      <c r="L41" s="560">
        <v>4300</v>
      </c>
      <c r="M41" s="560">
        <v>15000</v>
      </c>
      <c r="N41" s="67"/>
      <c r="O41" s="67"/>
      <c r="P41" s="580" t="s">
        <v>2610</v>
      </c>
      <c r="Q41" s="112" t="s">
        <v>117</v>
      </c>
      <c r="R41" s="132">
        <v>68</v>
      </c>
      <c r="S41" s="132">
        <v>68</v>
      </c>
      <c r="T41" s="132"/>
      <c r="U41" s="132"/>
      <c r="V41" s="132"/>
      <c r="W41" s="132"/>
      <c r="X41" s="132"/>
      <c r="Y41" s="132"/>
      <c r="Z41" s="132"/>
      <c r="AA41" s="132"/>
      <c r="AB41" s="132"/>
      <c r="AC41" s="132"/>
      <c r="AD41" s="132"/>
      <c r="AE41" s="132"/>
      <c r="AF41" s="132"/>
      <c r="AG41" s="132"/>
      <c r="AH41" s="132"/>
      <c r="AI41" s="90"/>
      <c r="AJ41" s="112" t="s">
        <v>117</v>
      </c>
      <c r="AK41" s="123" t="s">
        <v>874</v>
      </c>
      <c r="AL41" s="67" t="s">
        <v>2611</v>
      </c>
      <c r="AM41" s="35" t="s">
        <v>317</v>
      </c>
      <c r="AN41" s="91"/>
      <c r="AO41" s="162"/>
      <c r="AP41" s="157"/>
      <c r="AQ41" s="158" t="s">
        <v>318</v>
      </c>
      <c r="AR41" s="158" t="s">
        <v>91</v>
      </c>
      <c r="AS41" s="158" t="str">
        <f t="shared" si="65"/>
        <v>工业浦北县</v>
      </c>
      <c r="AT41" s="158" t="str">
        <f t="shared" si="66"/>
        <v>工业</v>
      </c>
      <c r="AU41" s="158"/>
      <c r="AV41" s="157"/>
      <c r="AW41" s="272"/>
      <c r="AX41" s="160"/>
      <c r="AY41" s="157"/>
      <c r="AZ41" s="157"/>
      <c r="BA41" s="157"/>
      <c r="BB41" s="157"/>
      <c r="BC41" s="157"/>
      <c r="BD41" s="157"/>
      <c r="BE41" s="157"/>
      <c r="BF41" s="157"/>
      <c r="BG41" s="7" t="s">
        <v>92</v>
      </c>
      <c r="BH41" s="7" t="s">
        <v>93</v>
      </c>
      <c r="BI41" s="204" t="str">
        <f t="shared" si="67"/>
        <v>企业浦北县人民政府</v>
      </c>
      <c r="BJ41" s="204" t="str">
        <f t="shared" si="68"/>
        <v>产业浦北县人民政府</v>
      </c>
      <c r="BK41" s="205">
        <f t="shared" si="69"/>
        <v>0</v>
      </c>
      <c r="BL41" s="157" t="str">
        <f t="shared" si="70"/>
        <v>工业浦北县1000</v>
      </c>
      <c r="BM41" s="157" t="str">
        <f t="shared" si="71"/>
        <v>工业浦北县2000</v>
      </c>
      <c r="BN41" s="157" t="str">
        <f t="shared" si="72"/>
        <v/>
      </c>
      <c r="BO41" s="157">
        <f t="shared" si="73"/>
        <v>1</v>
      </c>
      <c r="BP41" s="157">
        <f t="shared" si="74"/>
        <v>0</v>
      </c>
      <c r="BQ41" s="157">
        <f t="shared" si="75"/>
        <v>0</v>
      </c>
      <c r="BR41" s="157">
        <f t="shared" si="76"/>
        <v>0</v>
      </c>
      <c r="BS41" s="157">
        <f t="shared" si="77"/>
        <v>0</v>
      </c>
      <c r="BT41" s="181"/>
      <c r="BU41" s="206"/>
      <c r="BY41" s="7"/>
    </row>
    <row r="42" s="9" customFormat="1" ht="30" customHeight="1" spans="1:77">
      <c r="A42" s="551" t="s">
        <v>560</v>
      </c>
      <c r="B42" s="557" t="str">
        <f>"能源（"&amp;SUBTOTAL(3,C43:C47)&amp;"个）"</f>
        <v>能源（5个）</v>
      </c>
      <c r="C42" s="557"/>
      <c r="D42" s="557"/>
      <c r="E42" s="551"/>
      <c r="F42" s="134">
        <f t="shared" ref="F42:M42" si="79">SUBTOTAL(9,F43:F47)</f>
        <v>338530</v>
      </c>
      <c r="G42" s="134">
        <f t="shared" si="79"/>
        <v>229410</v>
      </c>
      <c r="H42" s="134"/>
      <c r="I42" s="134">
        <f t="shared" si="79"/>
        <v>21293</v>
      </c>
      <c r="J42" s="134">
        <f t="shared" si="79"/>
        <v>67793</v>
      </c>
      <c r="K42" s="134">
        <f t="shared" si="79"/>
        <v>91993</v>
      </c>
      <c r="L42" s="134">
        <f t="shared" si="79"/>
        <v>109120</v>
      </c>
      <c r="M42" s="134">
        <f t="shared" si="79"/>
        <v>66800</v>
      </c>
      <c r="N42" s="134">
        <f>SUBTOTAL(9,N43:N84)</f>
        <v>0</v>
      </c>
      <c r="O42" s="134">
        <f>SUBTOTAL(9,O43:O84)</f>
        <v>0</v>
      </c>
      <c r="P42" s="244"/>
      <c r="Q42" s="112"/>
      <c r="R42" s="132"/>
      <c r="S42" s="132"/>
      <c r="T42" s="132"/>
      <c r="U42" s="132"/>
      <c r="V42" s="132"/>
      <c r="W42" s="132"/>
      <c r="X42" s="132"/>
      <c r="Y42" s="132"/>
      <c r="Z42" s="132"/>
      <c r="AA42" s="132"/>
      <c r="AB42" s="132"/>
      <c r="AC42" s="132"/>
      <c r="AD42" s="132"/>
      <c r="AE42" s="132"/>
      <c r="AF42" s="132"/>
      <c r="AG42" s="132"/>
      <c r="AH42" s="132"/>
      <c r="AI42" s="90"/>
      <c r="AJ42" s="112"/>
      <c r="AK42" s="591"/>
      <c r="AL42" s="134"/>
      <c r="AM42" s="134"/>
      <c r="AN42" s="91"/>
      <c r="AO42" s="272"/>
      <c r="AP42" s="165"/>
      <c r="AQ42" s="158"/>
      <c r="AR42" s="158"/>
      <c r="AS42" s="158"/>
      <c r="AT42" s="158"/>
      <c r="AU42" s="158"/>
      <c r="AV42" s="165"/>
      <c r="AW42" s="169"/>
      <c r="AX42" s="165"/>
      <c r="AY42" s="165"/>
      <c r="AZ42" s="165"/>
      <c r="BA42" s="165"/>
      <c r="BB42" s="165"/>
      <c r="BC42" s="169"/>
      <c r="BD42" s="169"/>
      <c r="BE42" s="169"/>
      <c r="BF42" s="165"/>
      <c r="BK42" s="529"/>
      <c r="BL42" s="165"/>
      <c r="BM42" s="165"/>
      <c r="BN42" s="165"/>
      <c r="BO42" s="619"/>
      <c r="BP42" s="619"/>
      <c r="BQ42" s="619"/>
      <c r="BR42" s="619"/>
      <c r="BS42" s="619"/>
      <c r="BY42" s="7"/>
    </row>
    <row r="43" ht="60.75" customHeight="1" spans="1:79">
      <c r="A43" s="23">
        <f>SUBTOTAL(3,C$8:C43)</f>
        <v>25</v>
      </c>
      <c r="B43" s="60" t="s">
        <v>898</v>
      </c>
      <c r="C43" s="23" t="s">
        <v>810</v>
      </c>
      <c r="D43" s="66" t="s">
        <v>899</v>
      </c>
      <c r="E43" s="23" t="s">
        <v>827</v>
      </c>
      <c r="F43" s="67">
        <v>78700</v>
      </c>
      <c r="G43" s="36">
        <v>65000</v>
      </c>
      <c r="H43" s="81" t="s">
        <v>113</v>
      </c>
      <c r="I43" s="37">
        <v>1000</v>
      </c>
      <c r="J43" s="37">
        <v>5200</v>
      </c>
      <c r="K43" s="37">
        <v>9400</v>
      </c>
      <c r="L43" s="36">
        <v>13700</v>
      </c>
      <c r="M43" s="36">
        <v>3800</v>
      </c>
      <c r="N43" s="36"/>
      <c r="O43" s="36"/>
      <c r="P43" s="112" t="s">
        <v>2612</v>
      </c>
      <c r="Q43" s="112" t="s">
        <v>900</v>
      </c>
      <c r="R43" s="132">
        <v>100</v>
      </c>
      <c r="S43" s="132">
        <v>100</v>
      </c>
      <c r="T43" s="132"/>
      <c r="U43" s="132"/>
      <c r="V43" s="132"/>
      <c r="W43" s="132"/>
      <c r="X43" s="132"/>
      <c r="Y43" s="132"/>
      <c r="Z43" s="132"/>
      <c r="AA43" s="132"/>
      <c r="AB43" s="132"/>
      <c r="AC43" s="132"/>
      <c r="AD43" s="132">
        <v>13700</v>
      </c>
      <c r="AE43" s="132"/>
      <c r="AF43" s="132"/>
      <c r="AG43" s="132">
        <v>13700</v>
      </c>
      <c r="AH43" s="132"/>
      <c r="AI43" s="90"/>
      <c r="AJ43" s="112" t="s">
        <v>900</v>
      </c>
      <c r="AK43" s="34" t="s">
        <v>901</v>
      </c>
      <c r="AL43" s="35" t="s">
        <v>2613</v>
      </c>
      <c r="AM43" s="35" t="s">
        <v>185</v>
      </c>
      <c r="AN43" s="91"/>
      <c r="AO43" s="162"/>
      <c r="AP43" s="157"/>
      <c r="AQ43" s="158" t="s">
        <v>186</v>
      </c>
      <c r="AR43" s="158" t="s">
        <v>420</v>
      </c>
      <c r="AS43" s="158" t="str">
        <f t="shared" ref="AS43:AS47" si="80">AR43&amp;AQ43</f>
        <v>能源中马园</v>
      </c>
      <c r="AT43" s="158" t="s">
        <v>91</v>
      </c>
      <c r="AU43" s="158"/>
      <c r="AV43" s="161"/>
      <c r="AW43" s="161"/>
      <c r="AX43" s="160"/>
      <c r="AY43" s="157"/>
      <c r="AZ43" s="157"/>
      <c r="BA43" s="157"/>
      <c r="BB43" s="157"/>
      <c r="BC43" s="157"/>
      <c r="BD43" s="157"/>
      <c r="BE43" s="157"/>
      <c r="BF43" s="157"/>
      <c r="BG43" s="7" t="s">
        <v>92</v>
      </c>
      <c r="BH43" s="7" t="s">
        <v>93</v>
      </c>
      <c r="BI43" s="204" t="str">
        <f t="shared" ref="BI43:BI47" si="81">BG43&amp;AM43</f>
        <v>企业中马钦州产业园区管委</v>
      </c>
      <c r="BJ43" s="204" t="str">
        <f t="shared" ref="BJ43:BJ47" si="82">BH43&amp;AM43</f>
        <v>产业中马钦州产业园区管委</v>
      </c>
      <c r="BK43" s="205">
        <f t="shared" ref="BK43:BK47" si="83">IF(N43&gt;0,1,0)</f>
        <v>0</v>
      </c>
      <c r="BL43" s="157" t="str">
        <f t="shared" ref="BL43:BL47" si="84">IF(L43&lt;1000,"",AS43&amp;"1000")</f>
        <v>能源中马园1000</v>
      </c>
      <c r="BM43" s="157" t="str">
        <f t="shared" ref="BM43:BM47" si="85">IF(L43&lt;2000,"",AS43&amp;"2000")</f>
        <v>能源中马园2000</v>
      </c>
      <c r="BN43" s="157" t="str">
        <f t="shared" ref="BN43:BN47" si="86">IF(L43&lt;5000,"",AS43&amp;"5000")</f>
        <v>能源中马园5000</v>
      </c>
      <c r="BO43" s="157">
        <f t="shared" ref="BO43:BO47" si="87">IF(R43&gt;0,1,0)</f>
        <v>1</v>
      </c>
      <c r="BP43" s="157">
        <f t="shared" ref="BP43:BP47" si="88">IF(X43&gt;0,1,0)</f>
        <v>0</v>
      </c>
      <c r="BQ43" s="157">
        <f t="shared" ref="BQ43:BQ47" si="89">IF(U43&gt;0,1,0)</f>
        <v>0</v>
      </c>
      <c r="BR43" s="157">
        <f t="shared" ref="BR43:BR47" si="90">IF(AA43&gt;0,1,0)</f>
        <v>0</v>
      </c>
      <c r="BS43" s="157">
        <f t="shared" ref="BS43:BS47" si="91">IF(AD43&gt;0,1,0)</f>
        <v>1</v>
      </c>
      <c r="BT43" s="181"/>
      <c r="BU43" s="206"/>
      <c r="BW43" s="204"/>
      <c r="BX43" s="227"/>
      <c r="BY43" s="7"/>
      <c r="BZ43" s="204"/>
      <c r="CA43" s="204"/>
    </row>
    <row r="44" s="8" customFormat="1" ht="59.25" customHeight="1" spans="1:84">
      <c r="A44" s="23">
        <f>SUBTOTAL(3,C$8:C44)</f>
        <v>26</v>
      </c>
      <c r="B44" s="58" t="s">
        <v>909</v>
      </c>
      <c r="C44" s="87" t="s">
        <v>810</v>
      </c>
      <c r="D44" s="88" t="s">
        <v>910</v>
      </c>
      <c r="E44" s="23" t="s">
        <v>827</v>
      </c>
      <c r="F44" s="67">
        <v>44000</v>
      </c>
      <c r="G44" s="67">
        <v>43000</v>
      </c>
      <c r="H44" s="67" t="s">
        <v>144</v>
      </c>
      <c r="I44" s="67">
        <v>700</v>
      </c>
      <c r="J44" s="67">
        <v>1000</v>
      </c>
      <c r="K44" s="67">
        <v>1000</v>
      </c>
      <c r="L44" s="67">
        <v>1000</v>
      </c>
      <c r="M44" s="36">
        <v>4000</v>
      </c>
      <c r="N44" s="111"/>
      <c r="O44" s="67"/>
      <c r="P44" s="112"/>
      <c r="Q44" s="112"/>
      <c r="R44" s="132">
        <v>202</v>
      </c>
      <c r="S44" s="132">
        <v>202</v>
      </c>
      <c r="T44" s="132"/>
      <c r="U44" s="132"/>
      <c r="V44" s="132"/>
      <c r="W44" s="132"/>
      <c r="X44" s="132"/>
      <c r="Y44" s="132"/>
      <c r="Z44" s="132"/>
      <c r="AA44" s="132"/>
      <c r="AB44" s="132"/>
      <c r="AC44" s="132"/>
      <c r="AD44" s="132"/>
      <c r="AE44" s="132"/>
      <c r="AF44" s="132"/>
      <c r="AG44" s="132"/>
      <c r="AH44" s="132"/>
      <c r="AI44" s="90"/>
      <c r="AJ44" s="125" t="s">
        <v>911</v>
      </c>
      <c r="AK44" s="123" t="s">
        <v>912</v>
      </c>
      <c r="AL44" s="67" t="s">
        <v>2614</v>
      </c>
      <c r="AM44" s="67" t="s">
        <v>359</v>
      </c>
      <c r="AN44" s="91"/>
      <c r="AO44" s="76"/>
      <c r="AP44" s="35"/>
      <c r="AQ44" s="92" t="s">
        <v>376</v>
      </c>
      <c r="AR44" s="92" t="s">
        <v>420</v>
      </c>
      <c r="AS44" s="92" t="str">
        <f t="shared" si="80"/>
        <v>能源钦北区</v>
      </c>
      <c r="AT44" s="92" t="s">
        <v>91</v>
      </c>
      <c r="AU44" s="92"/>
      <c r="AV44" s="37"/>
      <c r="AW44" s="37"/>
      <c r="AX44" s="67"/>
      <c r="AY44" s="35"/>
      <c r="AZ44" s="35"/>
      <c r="BA44" s="35"/>
      <c r="BB44" s="35"/>
      <c r="BC44" s="35"/>
      <c r="BD44" s="35"/>
      <c r="BE44" s="35"/>
      <c r="BF44" s="35"/>
      <c r="BG44" s="199" t="s">
        <v>92</v>
      </c>
      <c r="BH44" s="7" t="s">
        <v>93</v>
      </c>
      <c r="BI44" s="197" t="str">
        <f t="shared" si="81"/>
        <v>企业钦南区人民政府</v>
      </c>
      <c r="BJ44" s="197" t="str">
        <f t="shared" si="82"/>
        <v>产业钦南区人民政府</v>
      </c>
      <c r="BK44" s="200">
        <f t="shared" si="83"/>
        <v>0</v>
      </c>
      <c r="BL44" s="35" t="str">
        <f t="shared" si="84"/>
        <v>能源钦北区1000</v>
      </c>
      <c r="BM44" s="35" t="str">
        <f t="shared" si="85"/>
        <v/>
      </c>
      <c r="BN44" s="35" t="str">
        <f t="shared" si="86"/>
        <v/>
      </c>
      <c r="BO44" s="35">
        <f t="shared" si="87"/>
        <v>1</v>
      </c>
      <c r="BP44" s="35">
        <f t="shared" si="88"/>
        <v>0</v>
      </c>
      <c r="BQ44" s="35">
        <f t="shared" si="89"/>
        <v>0</v>
      </c>
      <c r="BR44" s="35">
        <f t="shared" si="90"/>
        <v>0</v>
      </c>
      <c r="BS44" s="35">
        <f t="shared" si="91"/>
        <v>0</v>
      </c>
      <c r="BT44" s="59"/>
      <c r="BU44" s="217"/>
      <c r="BV44" s="199"/>
      <c r="BW44" s="199"/>
      <c r="BX44" s="199"/>
      <c r="BY44" s="199"/>
      <c r="BZ44" s="199"/>
      <c r="CA44" s="199"/>
      <c r="CB44" s="199"/>
      <c r="CC44" s="199"/>
      <c r="CD44" s="199"/>
      <c r="CE44" s="199"/>
      <c r="CF44" s="199"/>
    </row>
    <row r="45" ht="59.25" customHeight="1" spans="1:79">
      <c r="A45" s="23">
        <f>SUBTOTAL(3,C$8:C45)</f>
        <v>27</v>
      </c>
      <c r="B45" s="55" t="s">
        <v>913</v>
      </c>
      <c r="C45" s="35" t="s">
        <v>810</v>
      </c>
      <c r="D45" s="34" t="s">
        <v>914</v>
      </c>
      <c r="E45" s="35" t="s">
        <v>832</v>
      </c>
      <c r="F45" s="36">
        <v>40000</v>
      </c>
      <c r="G45" s="36">
        <v>25000</v>
      </c>
      <c r="H45" s="83" t="s">
        <v>209</v>
      </c>
      <c r="I45" s="578">
        <v>3000</v>
      </c>
      <c r="J45" s="578">
        <v>7000</v>
      </c>
      <c r="K45" s="578">
        <v>12000</v>
      </c>
      <c r="L45" s="36">
        <v>15000</v>
      </c>
      <c r="M45" s="36">
        <v>12000</v>
      </c>
      <c r="N45" s="111"/>
      <c r="O45" s="67"/>
      <c r="P45" s="112" t="s">
        <v>2615</v>
      </c>
      <c r="Q45" s="112" t="s">
        <v>117</v>
      </c>
      <c r="R45" s="132">
        <v>202</v>
      </c>
      <c r="S45" s="132">
        <v>202</v>
      </c>
      <c r="T45" s="132"/>
      <c r="U45" s="132"/>
      <c r="V45" s="132"/>
      <c r="W45" s="132"/>
      <c r="X45" s="132"/>
      <c r="Y45" s="132"/>
      <c r="Z45" s="132"/>
      <c r="AA45" s="132"/>
      <c r="AB45" s="132"/>
      <c r="AC45" s="132"/>
      <c r="AD45" s="132"/>
      <c r="AE45" s="132"/>
      <c r="AF45" s="132"/>
      <c r="AG45" s="132"/>
      <c r="AH45" s="132"/>
      <c r="AI45" s="90"/>
      <c r="AJ45" s="112" t="s">
        <v>2616</v>
      </c>
      <c r="AK45" s="34" t="s">
        <v>915</v>
      </c>
      <c r="AL45" s="35" t="s">
        <v>2617</v>
      </c>
      <c r="AM45" s="35" t="s">
        <v>375</v>
      </c>
      <c r="AN45" s="91"/>
      <c r="AO45" s="162"/>
      <c r="AP45" s="157"/>
      <c r="AQ45" s="158" t="s">
        <v>376</v>
      </c>
      <c r="AR45" s="158" t="s">
        <v>420</v>
      </c>
      <c r="AS45" s="158" t="str">
        <f t="shared" si="80"/>
        <v>能源钦北区</v>
      </c>
      <c r="AT45" s="158" t="s">
        <v>91</v>
      </c>
      <c r="AU45" s="158"/>
      <c r="AV45" s="161"/>
      <c r="AW45" s="161"/>
      <c r="AX45" s="160"/>
      <c r="AY45" s="157"/>
      <c r="AZ45" s="157"/>
      <c r="BA45" s="157"/>
      <c r="BB45" s="157"/>
      <c r="BC45" s="157"/>
      <c r="BD45" s="157"/>
      <c r="BE45" s="157"/>
      <c r="BF45" s="157"/>
      <c r="BG45" s="7" t="s">
        <v>92</v>
      </c>
      <c r="BH45" s="7" t="s">
        <v>93</v>
      </c>
      <c r="BI45" s="204" t="str">
        <f t="shared" si="81"/>
        <v>企业钦北区人民政府</v>
      </c>
      <c r="BJ45" s="204" t="str">
        <f t="shared" si="82"/>
        <v>产业钦北区人民政府</v>
      </c>
      <c r="BK45" s="205">
        <f t="shared" si="83"/>
        <v>0</v>
      </c>
      <c r="BL45" s="157" t="str">
        <f t="shared" si="84"/>
        <v>能源钦北区1000</v>
      </c>
      <c r="BM45" s="157" t="str">
        <f t="shared" si="85"/>
        <v>能源钦北区2000</v>
      </c>
      <c r="BN45" s="157" t="str">
        <f t="shared" si="86"/>
        <v>能源钦北区5000</v>
      </c>
      <c r="BO45" s="157">
        <f t="shared" si="87"/>
        <v>1</v>
      </c>
      <c r="BP45" s="157">
        <f t="shared" si="88"/>
        <v>0</v>
      </c>
      <c r="BQ45" s="157">
        <f t="shared" si="89"/>
        <v>0</v>
      </c>
      <c r="BR45" s="157">
        <f t="shared" si="90"/>
        <v>0</v>
      </c>
      <c r="BS45" s="157">
        <f t="shared" si="91"/>
        <v>0</v>
      </c>
      <c r="BT45" s="181"/>
      <c r="BU45" s="206"/>
      <c r="BW45" s="7"/>
      <c r="BX45" s="7"/>
      <c r="BY45" s="7"/>
      <c r="BZ45" s="7"/>
      <c r="CA45" s="7"/>
    </row>
    <row r="46" ht="60.75" customHeight="1" spans="1:79">
      <c r="A46" s="23">
        <f>SUBTOTAL(3,C$8:C46)</f>
        <v>28</v>
      </c>
      <c r="B46" s="55" t="s">
        <v>902</v>
      </c>
      <c r="C46" s="35" t="s">
        <v>810</v>
      </c>
      <c r="D46" s="34" t="s">
        <v>903</v>
      </c>
      <c r="E46" s="35" t="s">
        <v>827</v>
      </c>
      <c r="F46" s="36">
        <v>88000</v>
      </c>
      <c r="G46" s="36">
        <v>53407</v>
      </c>
      <c r="H46" s="81" t="s">
        <v>122</v>
      </c>
      <c r="I46" s="37">
        <v>14593</v>
      </c>
      <c r="J46" s="37">
        <v>34593</v>
      </c>
      <c r="K46" s="37">
        <v>34593</v>
      </c>
      <c r="L46" s="37">
        <v>34593</v>
      </c>
      <c r="M46" s="36">
        <v>7000</v>
      </c>
      <c r="N46" s="111"/>
      <c r="O46" s="67"/>
      <c r="P46" s="112" t="s">
        <v>2618</v>
      </c>
      <c r="Q46" s="112" t="s">
        <v>2619</v>
      </c>
      <c r="R46" s="132"/>
      <c r="S46" s="132"/>
      <c r="T46" s="132"/>
      <c r="U46" s="132"/>
      <c r="V46" s="132"/>
      <c r="W46" s="132"/>
      <c r="X46" s="132"/>
      <c r="Y46" s="132"/>
      <c r="Z46" s="132"/>
      <c r="AA46" s="132"/>
      <c r="AB46" s="132"/>
      <c r="AC46" s="132"/>
      <c r="AD46" s="132"/>
      <c r="AE46" s="132"/>
      <c r="AF46" s="132"/>
      <c r="AG46" s="132"/>
      <c r="AH46" s="132"/>
      <c r="AI46" s="90"/>
      <c r="AJ46" s="112" t="s">
        <v>117</v>
      </c>
      <c r="AK46" s="34" t="s">
        <v>2620</v>
      </c>
      <c r="AL46" s="35" t="s">
        <v>2621</v>
      </c>
      <c r="AM46" s="35" t="s">
        <v>269</v>
      </c>
      <c r="AN46" s="35" t="s">
        <v>905</v>
      </c>
      <c r="AO46" s="162"/>
      <c r="AP46" s="157"/>
      <c r="AQ46" s="158" t="s">
        <v>270</v>
      </c>
      <c r="AR46" s="158" t="s">
        <v>420</v>
      </c>
      <c r="AS46" s="158" t="str">
        <f t="shared" si="80"/>
        <v>能源灵山县</v>
      </c>
      <c r="AT46" s="158" t="s">
        <v>91</v>
      </c>
      <c r="AU46" s="158"/>
      <c r="AV46" s="161"/>
      <c r="AW46" s="161"/>
      <c r="AX46" s="160"/>
      <c r="AY46" s="157"/>
      <c r="AZ46" s="157"/>
      <c r="BA46" s="157"/>
      <c r="BB46" s="157"/>
      <c r="BC46" s="157"/>
      <c r="BD46" s="157"/>
      <c r="BE46" s="157"/>
      <c r="BF46" s="157"/>
      <c r="BG46" s="7" t="s">
        <v>92</v>
      </c>
      <c r="BH46" s="7" t="s">
        <v>93</v>
      </c>
      <c r="BI46" s="204" t="str">
        <f t="shared" si="81"/>
        <v>企业灵山县人民政府</v>
      </c>
      <c r="BJ46" s="204" t="str">
        <f t="shared" si="82"/>
        <v>产业灵山县人民政府</v>
      </c>
      <c r="BK46" s="205">
        <f t="shared" si="83"/>
        <v>0</v>
      </c>
      <c r="BL46" s="157" t="str">
        <f t="shared" si="84"/>
        <v>能源灵山县1000</v>
      </c>
      <c r="BM46" s="157" t="str">
        <f t="shared" si="85"/>
        <v>能源灵山县2000</v>
      </c>
      <c r="BN46" s="157" t="str">
        <f t="shared" si="86"/>
        <v>能源灵山县5000</v>
      </c>
      <c r="BO46" s="157">
        <f t="shared" si="87"/>
        <v>0</v>
      </c>
      <c r="BP46" s="157">
        <f t="shared" si="88"/>
        <v>0</v>
      </c>
      <c r="BQ46" s="157">
        <f t="shared" si="89"/>
        <v>0</v>
      </c>
      <c r="BR46" s="157">
        <f t="shared" si="90"/>
        <v>0</v>
      </c>
      <c r="BS46" s="157">
        <f t="shared" si="91"/>
        <v>0</v>
      </c>
      <c r="BT46" s="181"/>
      <c r="BU46" s="206"/>
      <c r="BW46" s="204"/>
      <c r="BX46" s="227"/>
      <c r="BY46" s="7"/>
      <c r="BZ46" s="204"/>
      <c r="CA46" s="204"/>
    </row>
    <row r="47" ht="60.75" customHeight="1" spans="1:79">
      <c r="A47" s="23">
        <f>SUBTOTAL(3,C$8:C47)</f>
        <v>29</v>
      </c>
      <c r="B47" s="55" t="s">
        <v>906</v>
      </c>
      <c r="C47" s="35" t="s">
        <v>810</v>
      </c>
      <c r="D47" s="34" t="s">
        <v>414</v>
      </c>
      <c r="E47" s="35" t="s">
        <v>812</v>
      </c>
      <c r="F47" s="36">
        <v>87830</v>
      </c>
      <c r="G47" s="36">
        <v>43003</v>
      </c>
      <c r="H47" s="81" t="s">
        <v>131</v>
      </c>
      <c r="I47" s="37">
        <v>2000</v>
      </c>
      <c r="J47" s="37">
        <v>20000</v>
      </c>
      <c r="K47" s="37">
        <v>35000</v>
      </c>
      <c r="L47" s="36">
        <v>44827</v>
      </c>
      <c r="M47" s="36">
        <v>40000</v>
      </c>
      <c r="N47" s="111"/>
      <c r="O47" s="67"/>
      <c r="P47" s="112" t="s">
        <v>2622</v>
      </c>
      <c r="Q47" s="112" t="s">
        <v>117</v>
      </c>
      <c r="R47" s="132"/>
      <c r="S47" s="132"/>
      <c r="T47" s="132"/>
      <c r="U47" s="132"/>
      <c r="V47" s="132"/>
      <c r="W47" s="132"/>
      <c r="X47" s="132"/>
      <c r="Y47" s="132"/>
      <c r="Z47" s="132"/>
      <c r="AA47" s="132"/>
      <c r="AB47" s="132"/>
      <c r="AC47" s="132"/>
      <c r="AD47" s="132"/>
      <c r="AE47" s="132"/>
      <c r="AF47" s="132"/>
      <c r="AG47" s="132"/>
      <c r="AH47" s="132"/>
      <c r="AI47" s="90"/>
      <c r="AJ47" s="112" t="s">
        <v>907</v>
      </c>
      <c r="AK47" s="34" t="s">
        <v>419</v>
      </c>
      <c r="AL47" s="35" t="s">
        <v>1970</v>
      </c>
      <c r="AM47" s="35" t="s">
        <v>269</v>
      </c>
      <c r="AN47" s="35" t="s">
        <v>908</v>
      </c>
      <c r="AO47" s="162"/>
      <c r="AP47" s="157"/>
      <c r="AQ47" s="158" t="s">
        <v>270</v>
      </c>
      <c r="AR47" s="158" t="s">
        <v>420</v>
      </c>
      <c r="AS47" s="158" t="str">
        <f t="shared" si="80"/>
        <v>能源灵山县</v>
      </c>
      <c r="AT47" s="158" t="s">
        <v>91</v>
      </c>
      <c r="AU47" s="158"/>
      <c r="AV47" s="161"/>
      <c r="AW47" s="161"/>
      <c r="AX47" s="160"/>
      <c r="AY47" s="157"/>
      <c r="AZ47" s="157"/>
      <c r="BA47" s="157"/>
      <c r="BB47" s="157"/>
      <c r="BC47" s="157"/>
      <c r="BD47" s="157"/>
      <c r="BE47" s="157"/>
      <c r="BF47" s="157"/>
      <c r="BG47" s="7" t="s">
        <v>92</v>
      </c>
      <c r="BH47" s="7" t="s">
        <v>93</v>
      </c>
      <c r="BI47" s="204" t="str">
        <f t="shared" si="81"/>
        <v>企业灵山县人民政府</v>
      </c>
      <c r="BJ47" s="204" t="str">
        <f t="shared" si="82"/>
        <v>产业灵山县人民政府</v>
      </c>
      <c r="BK47" s="205">
        <f t="shared" si="83"/>
        <v>0</v>
      </c>
      <c r="BL47" s="157" t="str">
        <f t="shared" si="84"/>
        <v>能源灵山县1000</v>
      </c>
      <c r="BM47" s="157" t="str">
        <f t="shared" si="85"/>
        <v>能源灵山县2000</v>
      </c>
      <c r="BN47" s="157" t="str">
        <f t="shared" si="86"/>
        <v>能源灵山县5000</v>
      </c>
      <c r="BO47" s="157">
        <f t="shared" si="87"/>
        <v>0</v>
      </c>
      <c r="BP47" s="157">
        <f t="shared" si="88"/>
        <v>0</v>
      </c>
      <c r="BQ47" s="157">
        <f t="shared" si="89"/>
        <v>0</v>
      </c>
      <c r="BR47" s="157">
        <f t="shared" si="90"/>
        <v>0</v>
      </c>
      <c r="BS47" s="157">
        <f t="shared" si="91"/>
        <v>0</v>
      </c>
      <c r="BT47" s="181"/>
      <c r="BU47" s="206"/>
      <c r="BW47" s="204"/>
      <c r="BX47" s="227"/>
      <c r="BY47" s="7"/>
      <c r="BZ47" s="204"/>
      <c r="CA47" s="204"/>
    </row>
    <row r="48" s="9" customFormat="1" ht="30" customHeight="1" spans="1:77">
      <c r="A48" s="551" t="s">
        <v>808</v>
      </c>
      <c r="B48" s="557" t="str">
        <f>"交通（"&amp;SUBTOTAL(3,C49:C57)&amp;"个）"</f>
        <v>交通（6个）</v>
      </c>
      <c r="C48" s="557"/>
      <c r="D48" s="557"/>
      <c r="E48" s="551"/>
      <c r="F48" s="134">
        <f t="shared" ref="F48:M48" si="92">F54+F49+F52</f>
        <v>607564</v>
      </c>
      <c r="G48" s="134">
        <f t="shared" si="92"/>
        <v>458947</v>
      </c>
      <c r="H48" s="134"/>
      <c r="I48" s="134">
        <f t="shared" si="92"/>
        <v>35300</v>
      </c>
      <c r="J48" s="134">
        <f t="shared" si="92"/>
        <v>83869</v>
      </c>
      <c r="K48" s="134">
        <f t="shared" si="92"/>
        <v>110362</v>
      </c>
      <c r="L48" s="134">
        <f t="shared" si="92"/>
        <v>148617</v>
      </c>
      <c r="M48" s="134">
        <f t="shared" si="92"/>
        <v>0</v>
      </c>
      <c r="N48" s="67"/>
      <c r="O48" s="67"/>
      <c r="P48" s="244"/>
      <c r="Q48" s="112"/>
      <c r="R48" s="132"/>
      <c r="S48" s="132"/>
      <c r="T48" s="132"/>
      <c r="U48" s="132"/>
      <c r="V48" s="132"/>
      <c r="W48" s="132"/>
      <c r="X48" s="132"/>
      <c r="Y48" s="132"/>
      <c r="Z48" s="132"/>
      <c r="AA48" s="132"/>
      <c r="AB48" s="132"/>
      <c r="AC48" s="132"/>
      <c r="AD48" s="132"/>
      <c r="AE48" s="132"/>
      <c r="AF48" s="132"/>
      <c r="AG48" s="132"/>
      <c r="AH48" s="132"/>
      <c r="AI48" s="90"/>
      <c r="AJ48" s="112"/>
      <c r="AK48" s="591"/>
      <c r="AL48" s="134"/>
      <c r="AM48" s="134"/>
      <c r="AN48" s="91"/>
      <c r="AO48" s="272"/>
      <c r="AP48" s="165"/>
      <c r="AQ48" s="158"/>
      <c r="AR48" s="158"/>
      <c r="AS48" s="158"/>
      <c r="AT48" s="158"/>
      <c r="AU48" s="158"/>
      <c r="AV48" s="165"/>
      <c r="AW48" s="169"/>
      <c r="AX48" s="165"/>
      <c r="AY48" s="165"/>
      <c r="AZ48" s="165"/>
      <c r="BA48" s="165"/>
      <c r="BB48" s="165"/>
      <c r="BC48" s="169"/>
      <c r="BD48" s="169"/>
      <c r="BE48" s="169"/>
      <c r="BF48" s="165"/>
      <c r="BK48" s="529"/>
      <c r="BL48" s="165"/>
      <c r="BM48" s="165"/>
      <c r="BN48" s="165"/>
      <c r="BO48" s="619"/>
      <c r="BP48" s="619"/>
      <c r="BQ48" s="619"/>
      <c r="BR48" s="619"/>
      <c r="BS48" s="619"/>
      <c r="BY48" s="7"/>
    </row>
    <row r="49" s="9" customFormat="1" ht="33" customHeight="1" spans="1:77">
      <c r="A49" s="23"/>
      <c r="B49" s="557" t="str">
        <f>"港口水运（"&amp;SUBTOTAL(3,C50:C51)&amp;"个）"</f>
        <v>港口水运（2个）</v>
      </c>
      <c r="C49" s="551"/>
      <c r="D49" s="555"/>
      <c r="E49" s="551"/>
      <c r="F49" s="134">
        <f t="shared" ref="F49:M49" si="93">SUBTOTAL(9,F50:F51)</f>
        <v>191388</v>
      </c>
      <c r="G49" s="134">
        <f t="shared" si="93"/>
        <v>140501</v>
      </c>
      <c r="H49" s="134"/>
      <c r="I49" s="134">
        <f t="shared" si="93"/>
        <v>15800</v>
      </c>
      <c r="J49" s="134">
        <f t="shared" si="93"/>
        <v>48869</v>
      </c>
      <c r="K49" s="134">
        <f t="shared" si="93"/>
        <v>49869</v>
      </c>
      <c r="L49" s="134">
        <f t="shared" si="93"/>
        <v>50887</v>
      </c>
      <c r="M49" s="134">
        <f t="shared" si="93"/>
        <v>0</v>
      </c>
      <c r="N49" s="134"/>
      <c r="O49" s="134"/>
      <c r="P49" s="244"/>
      <c r="Q49" s="112"/>
      <c r="R49" s="132"/>
      <c r="S49" s="132"/>
      <c r="T49" s="132"/>
      <c r="U49" s="132"/>
      <c r="V49" s="132"/>
      <c r="W49" s="132"/>
      <c r="X49" s="132"/>
      <c r="Y49" s="132"/>
      <c r="Z49" s="132"/>
      <c r="AA49" s="132"/>
      <c r="AB49" s="132"/>
      <c r="AC49" s="132"/>
      <c r="AD49" s="132"/>
      <c r="AE49" s="132"/>
      <c r="AF49" s="132"/>
      <c r="AG49" s="132"/>
      <c r="AH49" s="132"/>
      <c r="AI49" s="90"/>
      <c r="AJ49" s="112"/>
      <c r="AK49" s="591"/>
      <c r="AL49" s="134"/>
      <c r="AM49" s="134"/>
      <c r="AN49" s="91"/>
      <c r="AO49" s="272"/>
      <c r="AP49" s="165"/>
      <c r="AQ49" s="158"/>
      <c r="AR49" s="158"/>
      <c r="AS49" s="158"/>
      <c r="AT49" s="158"/>
      <c r="AU49" s="158"/>
      <c r="AV49" s="165"/>
      <c r="AW49" s="169"/>
      <c r="AX49" s="165"/>
      <c r="AY49" s="165"/>
      <c r="AZ49" s="165"/>
      <c r="BA49" s="165"/>
      <c r="BB49" s="165"/>
      <c r="BC49" s="169"/>
      <c r="BD49" s="169"/>
      <c r="BE49" s="169"/>
      <c r="BF49" s="165"/>
      <c r="BK49" s="529"/>
      <c r="BL49" s="165"/>
      <c r="BM49" s="165"/>
      <c r="BN49" s="165"/>
      <c r="BO49" s="165"/>
      <c r="BP49" s="165"/>
      <c r="BQ49" s="165"/>
      <c r="BR49" s="165"/>
      <c r="BS49" s="165"/>
      <c r="BT49" s="183"/>
      <c r="BY49" s="7"/>
    </row>
    <row r="50" s="9" customFormat="1" ht="70.5" customHeight="1" spans="1:77">
      <c r="A50" s="23">
        <f>SUBTOTAL(3,C$8:C50)</f>
        <v>30</v>
      </c>
      <c r="B50" s="60" t="s">
        <v>1116</v>
      </c>
      <c r="C50" s="23" t="s">
        <v>810</v>
      </c>
      <c r="D50" s="66" t="s">
        <v>1117</v>
      </c>
      <c r="E50" s="23" t="s">
        <v>832</v>
      </c>
      <c r="F50" s="35">
        <v>178001</v>
      </c>
      <c r="G50" s="35">
        <v>130632</v>
      </c>
      <c r="H50" s="81" t="s">
        <v>122</v>
      </c>
      <c r="I50" s="37">
        <v>15000</v>
      </c>
      <c r="J50" s="37">
        <v>47369</v>
      </c>
      <c r="K50" s="37">
        <v>47369</v>
      </c>
      <c r="L50" s="37">
        <v>47369</v>
      </c>
      <c r="M50" s="36"/>
      <c r="N50" s="36"/>
      <c r="O50" s="36"/>
      <c r="P50" s="112" t="s">
        <v>2623</v>
      </c>
      <c r="Q50" s="112" t="s">
        <v>117</v>
      </c>
      <c r="R50" s="132"/>
      <c r="S50" s="132"/>
      <c r="T50" s="132"/>
      <c r="U50" s="132"/>
      <c r="V50" s="132"/>
      <c r="W50" s="132"/>
      <c r="X50" s="132"/>
      <c r="Y50" s="132"/>
      <c r="Z50" s="132"/>
      <c r="AA50" s="132"/>
      <c r="AB50" s="132"/>
      <c r="AC50" s="132"/>
      <c r="AD50" s="132">
        <v>3332</v>
      </c>
      <c r="AE50" s="132"/>
      <c r="AF50" s="132"/>
      <c r="AG50" s="132">
        <v>3332</v>
      </c>
      <c r="AH50" s="132"/>
      <c r="AI50" s="90"/>
      <c r="AJ50" s="112" t="s">
        <v>117</v>
      </c>
      <c r="AK50" s="123" t="s">
        <v>1118</v>
      </c>
      <c r="AL50" s="67" t="s">
        <v>1976</v>
      </c>
      <c r="AM50" s="67" t="s">
        <v>1107</v>
      </c>
      <c r="AN50" s="91"/>
      <c r="AO50" s="162"/>
      <c r="AP50" s="157"/>
      <c r="AQ50" s="158" t="s">
        <v>1977</v>
      </c>
      <c r="AR50" s="158" t="s">
        <v>1978</v>
      </c>
      <c r="AS50" s="158" t="str">
        <f t="shared" ref="AS50:AS53" si="94">AR50&amp;AQ50</f>
        <v>交通港口水运</v>
      </c>
      <c r="AT50" s="158" t="s">
        <v>1979</v>
      </c>
      <c r="AU50" s="161"/>
      <c r="AV50" s="161"/>
      <c r="AW50" s="161"/>
      <c r="AX50" s="160"/>
      <c r="AY50" s="157"/>
      <c r="AZ50" s="157"/>
      <c r="BA50" s="157"/>
      <c r="BB50" s="157"/>
      <c r="BC50" s="157"/>
      <c r="BD50" s="157"/>
      <c r="BE50" s="157"/>
      <c r="BF50" s="157"/>
      <c r="BG50" s="7" t="s">
        <v>205</v>
      </c>
      <c r="BH50" s="7" t="s">
        <v>1980</v>
      </c>
      <c r="BI50" s="204" t="str">
        <f t="shared" ref="BI50:BI53" si="95">BG50&amp;AM50</f>
        <v>政府北部湾港口管理局钦州分局、钦州港区管委</v>
      </c>
      <c r="BJ50" s="204" t="str">
        <f t="shared" ref="BJ50:BJ53" si="96">BH50&amp;AM50</f>
        <v>基础设施北部湾港口管理局钦州分局、钦州港区管委</v>
      </c>
      <c r="BK50" s="205">
        <f t="shared" ref="BK50:BK53" si="97">IF(N50&gt;0,1,0)</f>
        <v>0</v>
      </c>
      <c r="BL50" s="157" t="str">
        <f t="shared" ref="BL50:BL53" si="98">IF(L50&lt;1000,"",AS50&amp;"1000")</f>
        <v>交通港口水运1000</v>
      </c>
      <c r="BM50" s="157" t="str">
        <f t="shared" ref="BM50:BM53" si="99">IF(L50&lt;2000,"",AS50&amp;"2000")</f>
        <v>交通港口水运2000</v>
      </c>
      <c r="BN50" s="157" t="str">
        <f t="shared" ref="BN50:BN53" si="100">IF(L50&lt;5000,"",AS50&amp;"5000")</f>
        <v>交通港口水运5000</v>
      </c>
      <c r="BO50" s="157">
        <f t="shared" ref="BO50:BO53" si="101">IF(R50&gt;0,1,0)</f>
        <v>0</v>
      </c>
      <c r="BP50" s="157">
        <f t="shared" ref="BP50:BP53" si="102">IF(X50&gt;0,1,0)</f>
        <v>0</v>
      </c>
      <c r="BQ50" s="157">
        <f t="shared" ref="BQ50:BQ53" si="103">IF(U50&gt;0,1,0)</f>
        <v>0</v>
      </c>
      <c r="BR50" s="157">
        <f t="shared" ref="BR50:BR53" si="104">IF(AA50&gt;0,1,0)</f>
        <v>0</v>
      </c>
      <c r="BS50" s="157">
        <f t="shared" ref="BS50:BS53" si="105">IF(AD50&gt;0,1,0)</f>
        <v>1</v>
      </c>
      <c r="BT50" s="157"/>
      <c r="BU50" s="206"/>
      <c r="BW50" s="7" t="s">
        <v>1890</v>
      </c>
      <c r="BY50" s="7"/>
    </row>
    <row r="51" ht="75.6" customHeight="1" spans="1:79">
      <c r="A51" s="23">
        <f>SUBTOTAL(3,C$8:C51)</f>
        <v>31</v>
      </c>
      <c r="B51" s="55" t="s">
        <v>1123</v>
      </c>
      <c r="C51" s="35" t="s">
        <v>810</v>
      </c>
      <c r="D51" s="34" t="s">
        <v>1124</v>
      </c>
      <c r="E51" s="35" t="s">
        <v>827</v>
      </c>
      <c r="F51" s="35">
        <v>13387</v>
      </c>
      <c r="G51" s="35">
        <v>9869</v>
      </c>
      <c r="H51" s="81" t="s">
        <v>131</v>
      </c>
      <c r="I51" s="37">
        <v>800</v>
      </c>
      <c r="J51" s="37">
        <v>1500</v>
      </c>
      <c r="K51" s="37">
        <v>2500</v>
      </c>
      <c r="L51" s="36">
        <v>3518</v>
      </c>
      <c r="M51" s="36"/>
      <c r="N51" s="36"/>
      <c r="O51" s="36"/>
      <c r="P51" s="34" t="s">
        <v>2624</v>
      </c>
      <c r="Q51" s="34" t="s">
        <v>117</v>
      </c>
      <c r="R51" s="132"/>
      <c r="S51" s="132"/>
      <c r="T51" s="132"/>
      <c r="U51" s="132"/>
      <c r="V51" s="132"/>
      <c r="W51" s="132"/>
      <c r="X51" s="132"/>
      <c r="Y51" s="132"/>
      <c r="Z51" s="132"/>
      <c r="AA51" s="132"/>
      <c r="AB51" s="132"/>
      <c r="AC51" s="132"/>
      <c r="AD51" s="132"/>
      <c r="AE51" s="132"/>
      <c r="AF51" s="132"/>
      <c r="AG51" s="132"/>
      <c r="AH51" s="132"/>
      <c r="AI51" s="90"/>
      <c r="AJ51" s="112" t="s">
        <v>117</v>
      </c>
      <c r="AK51" s="34" t="s">
        <v>1125</v>
      </c>
      <c r="AL51" s="35" t="s">
        <v>2625</v>
      </c>
      <c r="AM51" s="35" t="s">
        <v>1118</v>
      </c>
      <c r="AN51" s="91"/>
      <c r="AO51" s="162"/>
      <c r="AP51" s="157"/>
      <c r="AQ51" s="158" t="s">
        <v>1977</v>
      </c>
      <c r="AR51" s="158" t="s">
        <v>1978</v>
      </c>
      <c r="AS51" s="158" t="str">
        <f t="shared" si="94"/>
        <v>交通港口水运</v>
      </c>
      <c r="AT51" s="158" t="s">
        <v>1979</v>
      </c>
      <c r="AU51" s="158"/>
      <c r="AV51" s="161"/>
      <c r="AW51" s="161"/>
      <c r="AX51" s="160"/>
      <c r="AY51" s="157"/>
      <c r="AZ51" s="157"/>
      <c r="BA51" s="157"/>
      <c r="BB51" s="157"/>
      <c r="BC51" s="157"/>
      <c r="BD51" s="157"/>
      <c r="BE51" s="157"/>
      <c r="BF51" s="157"/>
      <c r="BG51" s="7" t="s">
        <v>205</v>
      </c>
      <c r="BH51" s="7" t="s">
        <v>1980</v>
      </c>
      <c r="BI51" s="204" t="str">
        <f t="shared" si="95"/>
        <v>政府北部湾港口管理局钦州分局</v>
      </c>
      <c r="BJ51" s="204" t="str">
        <f t="shared" si="96"/>
        <v>基础设施北部湾港口管理局钦州分局</v>
      </c>
      <c r="BK51" s="205">
        <f t="shared" si="97"/>
        <v>0</v>
      </c>
      <c r="BL51" s="157" t="str">
        <f t="shared" si="98"/>
        <v>交通港口水运1000</v>
      </c>
      <c r="BM51" s="157" t="str">
        <f t="shared" si="99"/>
        <v>交通港口水运2000</v>
      </c>
      <c r="BN51" s="157" t="str">
        <f t="shared" si="100"/>
        <v/>
      </c>
      <c r="BO51" s="157">
        <f t="shared" si="101"/>
        <v>0</v>
      </c>
      <c r="BP51" s="157">
        <f t="shared" si="102"/>
        <v>0</v>
      </c>
      <c r="BQ51" s="157">
        <f t="shared" si="103"/>
        <v>0</v>
      </c>
      <c r="BR51" s="157">
        <f t="shared" si="104"/>
        <v>0</v>
      </c>
      <c r="BS51" s="157">
        <f t="shared" si="105"/>
        <v>0</v>
      </c>
      <c r="BT51" s="181"/>
      <c r="BU51" s="206"/>
      <c r="BW51" s="7"/>
      <c r="BX51" s="7"/>
      <c r="BY51" s="7"/>
      <c r="BZ51" s="7"/>
      <c r="CA51" s="7"/>
    </row>
    <row r="52" s="9" customFormat="1" ht="33" customHeight="1" spans="1:77">
      <c r="A52" s="23"/>
      <c r="B52" s="557" t="str">
        <f>"铁路（"&amp;SUBTOTAL(3,C53:C53)&amp;"个）"</f>
        <v>铁路（1个）</v>
      </c>
      <c r="C52" s="551"/>
      <c r="D52" s="555"/>
      <c r="E52" s="551"/>
      <c r="F52" s="134">
        <f t="shared" ref="F52:M52" si="106">SUBTOTAL(9,F53:F53)</f>
        <v>34000</v>
      </c>
      <c r="G52" s="134">
        <f t="shared" si="106"/>
        <v>20000</v>
      </c>
      <c r="H52" s="134"/>
      <c r="I52" s="134">
        <f t="shared" si="106"/>
        <v>14000</v>
      </c>
      <c r="J52" s="134">
        <f t="shared" si="106"/>
        <v>14000</v>
      </c>
      <c r="K52" s="134">
        <f t="shared" si="106"/>
        <v>14000</v>
      </c>
      <c r="L52" s="134">
        <f t="shared" si="106"/>
        <v>14000</v>
      </c>
      <c r="M52" s="134">
        <f t="shared" si="106"/>
        <v>0</v>
      </c>
      <c r="N52" s="134"/>
      <c r="O52" s="134"/>
      <c r="P52" s="244"/>
      <c r="Q52" s="112"/>
      <c r="R52" s="132"/>
      <c r="S52" s="132"/>
      <c r="T52" s="132"/>
      <c r="U52" s="132"/>
      <c r="V52" s="132"/>
      <c r="W52" s="132"/>
      <c r="X52" s="132"/>
      <c r="Y52" s="132"/>
      <c r="Z52" s="132"/>
      <c r="AA52" s="132"/>
      <c r="AB52" s="132"/>
      <c r="AC52" s="132"/>
      <c r="AD52" s="132"/>
      <c r="AE52" s="132"/>
      <c r="AF52" s="132"/>
      <c r="AG52" s="132"/>
      <c r="AH52" s="132"/>
      <c r="AI52" s="90"/>
      <c r="AJ52" s="112"/>
      <c r="AK52" s="591"/>
      <c r="AL52" s="134"/>
      <c r="AM52" s="134"/>
      <c r="AN52" s="91"/>
      <c r="AO52" s="272"/>
      <c r="AP52" s="165"/>
      <c r="AQ52" s="158"/>
      <c r="AR52" s="158"/>
      <c r="AS52" s="158"/>
      <c r="AT52" s="158"/>
      <c r="AU52" s="158"/>
      <c r="AV52" s="165"/>
      <c r="AW52" s="169"/>
      <c r="AX52" s="165"/>
      <c r="AY52" s="165"/>
      <c r="AZ52" s="165"/>
      <c r="BA52" s="165"/>
      <c r="BB52" s="165"/>
      <c r="BC52" s="169"/>
      <c r="BD52" s="169"/>
      <c r="BE52" s="169"/>
      <c r="BF52" s="165"/>
      <c r="BK52" s="529"/>
      <c r="BL52" s="165"/>
      <c r="BM52" s="165"/>
      <c r="BN52" s="165"/>
      <c r="BO52" s="165"/>
      <c r="BP52" s="165"/>
      <c r="BQ52" s="165"/>
      <c r="BR52" s="165"/>
      <c r="BS52" s="165"/>
      <c r="BT52" s="183"/>
      <c r="BY52" s="7"/>
    </row>
    <row r="53" ht="75.6" customHeight="1" spans="1:79">
      <c r="A53" s="23">
        <f>SUBTOTAL(3,C$8:C53)</f>
        <v>32</v>
      </c>
      <c r="B53" s="55" t="s">
        <v>1145</v>
      </c>
      <c r="C53" s="35" t="s">
        <v>810</v>
      </c>
      <c r="D53" s="34" t="s">
        <v>1146</v>
      </c>
      <c r="E53" s="35" t="s">
        <v>812</v>
      </c>
      <c r="F53" s="36">
        <v>34000</v>
      </c>
      <c r="G53" s="38">
        <v>20000</v>
      </c>
      <c r="H53" s="81" t="s">
        <v>244</v>
      </c>
      <c r="I53" s="38">
        <v>14000</v>
      </c>
      <c r="J53" s="38">
        <v>14000</v>
      </c>
      <c r="K53" s="38">
        <v>14000</v>
      </c>
      <c r="L53" s="38">
        <v>14000</v>
      </c>
      <c r="M53" s="38"/>
      <c r="N53" s="134"/>
      <c r="O53" s="134"/>
      <c r="P53" s="91" t="s">
        <v>2626</v>
      </c>
      <c r="Q53" s="112" t="s">
        <v>117</v>
      </c>
      <c r="R53" s="132"/>
      <c r="S53" s="132"/>
      <c r="T53" s="132"/>
      <c r="U53" s="132"/>
      <c r="V53" s="132"/>
      <c r="W53" s="132"/>
      <c r="X53" s="132"/>
      <c r="Y53" s="132"/>
      <c r="Z53" s="132"/>
      <c r="AA53" s="132"/>
      <c r="AB53" s="132"/>
      <c r="AC53" s="132"/>
      <c r="AD53" s="132"/>
      <c r="AE53" s="132"/>
      <c r="AF53" s="132"/>
      <c r="AG53" s="132"/>
      <c r="AH53" s="132"/>
      <c r="AI53" s="90"/>
      <c r="AJ53" s="112" t="s">
        <v>117</v>
      </c>
      <c r="AK53" s="34" t="s">
        <v>1137</v>
      </c>
      <c r="AL53" s="35" t="s">
        <v>1992</v>
      </c>
      <c r="AM53" s="35" t="s">
        <v>950</v>
      </c>
      <c r="AN53" s="35" t="s">
        <v>1139</v>
      </c>
      <c r="AO53" s="162"/>
      <c r="AP53" s="157"/>
      <c r="AQ53" s="158" t="s">
        <v>1993</v>
      </c>
      <c r="AR53" s="158" t="s">
        <v>1978</v>
      </c>
      <c r="AS53" s="158" t="str">
        <f t="shared" si="94"/>
        <v>交通铁路</v>
      </c>
      <c r="AT53" s="158" t="str">
        <f t="shared" ref="AT53:AT57" si="107">AQ53</f>
        <v>铁路</v>
      </c>
      <c r="AU53" s="158"/>
      <c r="AV53" s="161"/>
      <c r="AW53" s="161"/>
      <c r="AX53" s="160"/>
      <c r="AY53" s="157"/>
      <c r="AZ53" s="157"/>
      <c r="BA53" s="157"/>
      <c r="BB53" s="157"/>
      <c r="BC53" s="157"/>
      <c r="BD53" s="157"/>
      <c r="BE53" s="157"/>
      <c r="BF53" s="157"/>
      <c r="BG53" s="7" t="s">
        <v>205</v>
      </c>
      <c r="BH53" s="7" t="s">
        <v>1980</v>
      </c>
      <c r="BI53" s="204" t="str">
        <f t="shared" si="95"/>
        <v>政府市交通运输局</v>
      </c>
      <c r="BJ53" s="204" t="str">
        <f t="shared" si="96"/>
        <v>基础设施市交通运输局</v>
      </c>
      <c r="BK53" s="205">
        <f t="shared" si="97"/>
        <v>0</v>
      </c>
      <c r="BL53" s="157" t="str">
        <f t="shared" si="98"/>
        <v>交通铁路1000</v>
      </c>
      <c r="BM53" s="157" t="str">
        <f t="shared" si="99"/>
        <v>交通铁路2000</v>
      </c>
      <c r="BN53" s="157" t="str">
        <f t="shared" si="100"/>
        <v>交通铁路5000</v>
      </c>
      <c r="BO53" s="157">
        <f t="shared" si="101"/>
        <v>0</v>
      </c>
      <c r="BP53" s="157">
        <f t="shared" si="102"/>
        <v>0</v>
      </c>
      <c r="BQ53" s="157">
        <f t="shared" si="103"/>
        <v>0</v>
      </c>
      <c r="BR53" s="157">
        <f t="shared" si="104"/>
        <v>0</v>
      </c>
      <c r="BS53" s="157">
        <f t="shared" si="105"/>
        <v>0</v>
      </c>
      <c r="BT53" s="181"/>
      <c r="BU53" s="206"/>
      <c r="BW53" s="7"/>
      <c r="BX53" s="7"/>
      <c r="BY53" s="7"/>
      <c r="BZ53" s="7"/>
      <c r="CA53" s="7"/>
    </row>
    <row r="54" s="9" customFormat="1" ht="30" customHeight="1" spans="1:77">
      <c r="A54" s="551"/>
      <c r="B54" s="557" t="str">
        <f>"公路（"&amp;SUBTOTAL(3,C55:C57)&amp;"个）"</f>
        <v>公路（3个）</v>
      </c>
      <c r="C54" s="551"/>
      <c r="D54" s="555"/>
      <c r="E54" s="551"/>
      <c r="F54" s="134">
        <f t="shared" ref="F54:M54" si="108">SUBTOTAL(9,F55:F57)</f>
        <v>382176</v>
      </c>
      <c r="G54" s="134">
        <f t="shared" si="108"/>
        <v>298446</v>
      </c>
      <c r="H54" s="134"/>
      <c r="I54" s="134">
        <f t="shared" si="108"/>
        <v>5500</v>
      </c>
      <c r="J54" s="134">
        <f t="shared" si="108"/>
        <v>21000</v>
      </c>
      <c r="K54" s="134">
        <f t="shared" si="108"/>
        <v>46493</v>
      </c>
      <c r="L54" s="134">
        <f t="shared" si="108"/>
        <v>83730</v>
      </c>
      <c r="M54" s="134">
        <f t="shared" si="108"/>
        <v>0</v>
      </c>
      <c r="N54" s="134"/>
      <c r="O54" s="134"/>
      <c r="P54" s="244"/>
      <c r="Q54" s="112"/>
      <c r="R54" s="132"/>
      <c r="S54" s="132"/>
      <c r="T54" s="132"/>
      <c r="U54" s="132"/>
      <c r="V54" s="132"/>
      <c r="W54" s="132"/>
      <c r="X54" s="132"/>
      <c r="Y54" s="132"/>
      <c r="Z54" s="132"/>
      <c r="AA54" s="132"/>
      <c r="AB54" s="132"/>
      <c r="AC54" s="132"/>
      <c r="AD54" s="132"/>
      <c r="AE54" s="132"/>
      <c r="AF54" s="132"/>
      <c r="AG54" s="132"/>
      <c r="AH54" s="132"/>
      <c r="AI54" s="90"/>
      <c r="AJ54" s="112"/>
      <c r="AK54" s="591"/>
      <c r="AL54" s="134"/>
      <c r="AM54" s="134"/>
      <c r="AN54" s="91"/>
      <c r="AO54" s="272"/>
      <c r="AP54" s="165"/>
      <c r="AQ54" s="158"/>
      <c r="AR54" s="158"/>
      <c r="AS54" s="158"/>
      <c r="AT54" s="158"/>
      <c r="AU54" s="158"/>
      <c r="AV54" s="165"/>
      <c r="AW54" s="169"/>
      <c r="AX54" s="165"/>
      <c r="AY54" s="165"/>
      <c r="AZ54" s="165"/>
      <c r="BA54" s="165"/>
      <c r="BB54" s="165"/>
      <c r="BC54" s="169"/>
      <c r="BD54" s="169"/>
      <c r="BE54" s="169"/>
      <c r="BF54" s="165"/>
      <c r="BK54" s="529"/>
      <c r="BL54" s="165"/>
      <c r="BM54" s="165"/>
      <c r="BN54" s="165"/>
      <c r="BO54" s="165"/>
      <c r="BP54" s="165"/>
      <c r="BQ54" s="165"/>
      <c r="BR54" s="165"/>
      <c r="BS54" s="165"/>
      <c r="BT54" s="183"/>
      <c r="BY54" s="7"/>
    </row>
    <row r="55" ht="66.75" customHeight="1" spans="1:77">
      <c r="A55" s="23">
        <f>SUBTOTAL(3,C$8:C55)</f>
        <v>33</v>
      </c>
      <c r="B55" s="55" t="s">
        <v>969</v>
      </c>
      <c r="C55" s="59" t="s">
        <v>810</v>
      </c>
      <c r="D55" s="34" t="s">
        <v>970</v>
      </c>
      <c r="E55" s="35" t="s">
        <v>827</v>
      </c>
      <c r="F55" s="38">
        <v>375003</v>
      </c>
      <c r="G55" s="38">
        <v>293346</v>
      </c>
      <c r="H55" s="81" t="s">
        <v>131</v>
      </c>
      <c r="I55" s="37">
        <v>5000</v>
      </c>
      <c r="J55" s="37">
        <v>20000</v>
      </c>
      <c r="K55" s="37">
        <v>45000</v>
      </c>
      <c r="L55" s="38">
        <v>81657</v>
      </c>
      <c r="M55" s="38"/>
      <c r="N55" s="111"/>
      <c r="O55" s="67"/>
      <c r="P55" s="125" t="s">
        <v>2627</v>
      </c>
      <c r="Q55" s="112" t="s">
        <v>2628</v>
      </c>
      <c r="R55" s="132">
        <v>1987.3217</v>
      </c>
      <c r="S55" s="132">
        <v>1987.3217</v>
      </c>
      <c r="T55" s="132"/>
      <c r="U55" s="132">
        <v>575.1195</v>
      </c>
      <c r="V55" s="132">
        <v>575.1195</v>
      </c>
      <c r="W55" s="132"/>
      <c r="X55" s="132"/>
      <c r="Y55" s="132"/>
      <c r="Z55" s="132"/>
      <c r="AA55" s="132">
        <v>1987.3217</v>
      </c>
      <c r="AB55" s="132">
        <v>1987.3217</v>
      </c>
      <c r="AC55" s="132"/>
      <c r="AD55" s="115">
        <v>81657</v>
      </c>
      <c r="AE55" s="115"/>
      <c r="AF55" s="115"/>
      <c r="AG55" s="115">
        <v>81657</v>
      </c>
      <c r="AH55" s="132"/>
      <c r="AI55" s="90"/>
      <c r="AJ55" s="112" t="s">
        <v>972</v>
      </c>
      <c r="AK55" s="34" t="s">
        <v>949</v>
      </c>
      <c r="AL55" s="35" t="s">
        <v>2629</v>
      </c>
      <c r="AM55" s="35" t="s">
        <v>950</v>
      </c>
      <c r="AN55" s="91"/>
      <c r="AO55" s="162"/>
      <c r="AP55" s="157"/>
      <c r="AQ55" s="158" t="s">
        <v>1997</v>
      </c>
      <c r="AR55" s="158" t="s">
        <v>1978</v>
      </c>
      <c r="AS55" s="158" t="str">
        <f t="shared" ref="AS55:AS57" si="109">AR55&amp;AQ55</f>
        <v>交通公路</v>
      </c>
      <c r="AT55" s="158" t="str">
        <f t="shared" si="107"/>
        <v>公路</v>
      </c>
      <c r="AU55" s="158"/>
      <c r="AV55" s="161"/>
      <c r="AW55" s="161"/>
      <c r="AX55" s="160"/>
      <c r="AY55" s="157"/>
      <c r="AZ55" s="157"/>
      <c r="BA55" s="157"/>
      <c r="BB55" s="157"/>
      <c r="BC55" s="157"/>
      <c r="BD55" s="157"/>
      <c r="BE55" s="157"/>
      <c r="BF55" s="157"/>
      <c r="BG55" s="7" t="s">
        <v>205</v>
      </c>
      <c r="BH55" s="7" t="s">
        <v>1980</v>
      </c>
      <c r="BI55" s="204" t="str">
        <f t="shared" ref="BI55:BI57" si="110">BG55&amp;AM55</f>
        <v>政府市交通运输局</v>
      </c>
      <c r="BJ55" s="204" t="str">
        <f t="shared" ref="BJ55:BJ57" si="111">BH55&amp;AM55</f>
        <v>基础设施市交通运输局</v>
      </c>
      <c r="BK55" s="205">
        <f t="shared" ref="BK55:BK57" si="112">IF(N55&gt;0,1,0)</f>
        <v>0</v>
      </c>
      <c r="BL55" s="157" t="str">
        <f t="shared" ref="BL55:BL57" si="113">IF(L55&lt;1000,"",AS55&amp;"1000")</f>
        <v>交通公路1000</v>
      </c>
      <c r="BM55" s="157" t="str">
        <f t="shared" ref="BM55:BM57" si="114">IF(L55&lt;2000,"",AS55&amp;"2000")</f>
        <v>交通公路2000</v>
      </c>
      <c r="BN55" s="157" t="str">
        <f t="shared" ref="BN55:BN57" si="115">IF(L55&lt;5000,"",AS55&amp;"5000")</f>
        <v>交通公路5000</v>
      </c>
      <c r="BO55" s="157">
        <f t="shared" ref="BO55:BO57" si="116">IF(R55&gt;0,1,0)</f>
        <v>1</v>
      </c>
      <c r="BP55" s="157">
        <f t="shared" ref="BP55:BP57" si="117">IF(X55&gt;0,1,0)</f>
        <v>0</v>
      </c>
      <c r="BQ55" s="157">
        <f t="shared" ref="BQ55:BQ57" si="118">IF(U55&gt;0,1,0)</f>
        <v>1</v>
      </c>
      <c r="BR55" s="157">
        <f t="shared" ref="BR55:BR57" si="119">IF(AA55&gt;0,1,0)</f>
        <v>1</v>
      </c>
      <c r="BS55" s="157">
        <f t="shared" ref="BS55:BS57" si="120">IF(AD55&gt;0,1,0)</f>
        <v>1</v>
      </c>
      <c r="BT55" s="181"/>
      <c r="BU55" s="206"/>
      <c r="BW55" s="7" t="s">
        <v>1890</v>
      </c>
      <c r="BY55" s="7"/>
    </row>
    <row r="56" ht="88.5" customHeight="1" spans="1:77">
      <c r="A56" s="23">
        <f>SUBTOTAL(3,C$8:C56)</f>
        <v>34</v>
      </c>
      <c r="B56" s="55" t="s">
        <v>1177</v>
      </c>
      <c r="C56" s="35" t="s">
        <v>810</v>
      </c>
      <c r="D56" s="34" t="s">
        <v>1178</v>
      </c>
      <c r="E56" s="563" t="s">
        <v>832</v>
      </c>
      <c r="F56" s="564">
        <v>1780</v>
      </c>
      <c r="G56" s="23">
        <v>800</v>
      </c>
      <c r="H56" s="81" t="s">
        <v>131</v>
      </c>
      <c r="I56" s="37">
        <v>200</v>
      </c>
      <c r="J56" s="37">
        <v>400</v>
      </c>
      <c r="K56" s="37">
        <v>600</v>
      </c>
      <c r="L56" s="581">
        <v>980</v>
      </c>
      <c r="M56" s="581"/>
      <c r="N56" s="111"/>
      <c r="O56" s="67"/>
      <c r="P56" s="112"/>
      <c r="Q56" s="112"/>
      <c r="R56" s="132">
        <v>628.665</v>
      </c>
      <c r="S56" s="132">
        <v>448.665</v>
      </c>
      <c r="T56" s="132">
        <v>180</v>
      </c>
      <c r="U56" s="132">
        <v>209.544</v>
      </c>
      <c r="V56" s="132">
        <v>209.544</v>
      </c>
      <c r="W56" s="132"/>
      <c r="X56" s="132"/>
      <c r="Y56" s="132"/>
      <c r="Z56" s="132"/>
      <c r="AA56" s="132"/>
      <c r="AB56" s="132"/>
      <c r="AC56" s="132"/>
      <c r="AD56" s="132">
        <v>1000</v>
      </c>
      <c r="AE56" s="132"/>
      <c r="AF56" s="132"/>
      <c r="AG56" s="132">
        <v>1000</v>
      </c>
      <c r="AH56" s="132"/>
      <c r="AI56" s="90"/>
      <c r="AJ56" s="112" t="s">
        <v>117</v>
      </c>
      <c r="AK56" s="593" t="s">
        <v>2630</v>
      </c>
      <c r="AL56" s="594" t="s">
        <v>2631</v>
      </c>
      <c r="AM56" s="35" t="s">
        <v>269</v>
      </c>
      <c r="AN56" s="91"/>
      <c r="AO56" s="162"/>
      <c r="AP56" s="157"/>
      <c r="AQ56" s="158" t="s">
        <v>1997</v>
      </c>
      <c r="AR56" s="158" t="s">
        <v>1978</v>
      </c>
      <c r="AS56" s="158" t="str">
        <f t="shared" si="109"/>
        <v>交通公路</v>
      </c>
      <c r="AT56" s="158" t="str">
        <f t="shared" si="107"/>
        <v>公路</v>
      </c>
      <c r="AU56" s="158"/>
      <c r="AV56" s="161"/>
      <c r="AW56" s="161"/>
      <c r="AX56" s="160"/>
      <c r="AY56" s="157"/>
      <c r="AZ56" s="157"/>
      <c r="BA56" s="157"/>
      <c r="BB56" s="157"/>
      <c r="BC56" s="157"/>
      <c r="BD56" s="157"/>
      <c r="BE56" s="157"/>
      <c r="BF56" s="157"/>
      <c r="BG56" s="7" t="s">
        <v>205</v>
      </c>
      <c r="BH56" s="7" t="s">
        <v>1980</v>
      </c>
      <c r="BI56" s="204" t="str">
        <f t="shared" si="110"/>
        <v>政府灵山县人民政府</v>
      </c>
      <c r="BJ56" s="204" t="str">
        <f t="shared" si="111"/>
        <v>基础设施灵山县人民政府</v>
      </c>
      <c r="BK56" s="205">
        <f t="shared" si="112"/>
        <v>0</v>
      </c>
      <c r="BL56" s="157" t="str">
        <f t="shared" si="113"/>
        <v/>
      </c>
      <c r="BM56" s="157" t="str">
        <f t="shared" si="114"/>
        <v/>
      </c>
      <c r="BN56" s="157" t="str">
        <f t="shared" si="115"/>
        <v/>
      </c>
      <c r="BO56" s="157">
        <f t="shared" si="116"/>
        <v>1</v>
      </c>
      <c r="BP56" s="157">
        <f t="shared" si="117"/>
        <v>0</v>
      </c>
      <c r="BQ56" s="157">
        <f t="shared" si="118"/>
        <v>1</v>
      </c>
      <c r="BR56" s="157">
        <f t="shared" si="119"/>
        <v>0</v>
      </c>
      <c r="BS56" s="157">
        <f t="shared" si="120"/>
        <v>1</v>
      </c>
      <c r="BT56" s="181"/>
      <c r="BU56" s="206"/>
      <c r="BY56" s="7"/>
    </row>
    <row r="57" ht="88.5" customHeight="1" spans="1:77">
      <c r="A57" s="23">
        <f>SUBTOTAL(3,C$8:C57)</f>
        <v>35</v>
      </c>
      <c r="B57" s="243" t="s">
        <v>1191</v>
      </c>
      <c r="C57" s="35" t="s">
        <v>810</v>
      </c>
      <c r="D57" s="565" t="s">
        <v>1192</v>
      </c>
      <c r="E57" s="35" t="s">
        <v>812</v>
      </c>
      <c r="F57" s="35">
        <v>5393</v>
      </c>
      <c r="G57" s="37">
        <v>4300</v>
      </c>
      <c r="H57" s="81" t="s">
        <v>131</v>
      </c>
      <c r="I57" s="37">
        <v>300</v>
      </c>
      <c r="J57" s="37">
        <v>600</v>
      </c>
      <c r="K57" s="37">
        <v>893</v>
      </c>
      <c r="L57" s="38">
        <v>1093</v>
      </c>
      <c r="M57" s="38"/>
      <c r="N57" s="111"/>
      <c r="O57" s="67"/>
      <c r="P57" s="125" t="s">
        <v>2632</v>
      </c>
      <c r="Q57" s="270" t="s">
        <v>2633</v>
      </c>
      <c r="R57" s="132"/>
      <c r="S57" s="132"/>
      <c r="T57" s="132"/>
      <c r="U57" s="132"/>
      <c r="V57" s="132"/>
      <c r="W57" s="132"/>
      <c r="X57" s="132"/>
      <c r="Y57" s="132"/>
      <c r="Z57" s="132"/>
      <c r="AA57" s="132"/>
      <c r="AB57" s="132"/>
      <c r="AC57" s="132"/>
      <c r="AD57" s="132"/>
      <c r="AE57" s="132"/>
      <c r="AF57" s="132"/>
      <c r="AG57" s="132"/>
      <c r="AH57" s="132"/>
      <c r="AI57" s="90"/>
      <c r="AJ57" s="112" t="s">
        <v>1193</v>
      </c>
      <c r="AK57" s="595" t="s">
        <v>1194</v>
      </c>
      <c r="AL57" s="67" t="s">
        <v>2634</v>
      </c>
      <c r="AM57" s="67" t="s">
        <v>317</v>
      </c>
      <c r="AN57" s="91"/>
      <c r="AO57" s="162"/>
      <c r="AP57" s="157"/>
      <c r="AQ57" s="158" t="s">
        <v>1997</v>
      </c>
      <c r="AR57" s="158" t="s">
        <v>1978</v>
      </c>
      <c r="AS57" s="158" t="str">
        <f t="shared" si="109"/>
        <v>交通公路</v>
      </c>
      <c r="AT57" s="158" t="str">
        <f t="shared" si="107"/>
        <v>公路</v>
      </c>
      <c r="AU57" s="158"/>
      <c r="AV57" s="161"/>
      <c r="AW57" s="161"/>
      <c r="AX57" s="160"/>
      <c r="AY57" s="157"/>
      <c r="AZ57" s="157"/>
      <c r="BA57" s="157"/>
      <c r="BB57" s="157"/>
      <c r="BC57" s="157"/>
      <c r="BD57" s="157"/>
      <c r="BE57" s="157"/>
      <c r="BF57" s="157"/>
      <c r="BG57" s="7" t="s">
        <v>205</v>
      </c>
      <c r="BH57" s="7" t="s">
        <v>1980</v>
      </c>
      <c r="BI57" s="204" t="str">
        <f t="shared" si="110"/>
        <v>政府浦北县人民政府</v>
      </c>
      <c r="BJ57" s="204" t="str">
        <f t="shared" si="111"/>
        <v>基础设施浦北县人民政府</v>
      </c>
      <c r="BK57" s="205">
        <f t="shared" si="112"/>
        <v>0</v>
      </c>
      <c r="BL57" s="157" t="str">
        <f t="shared" si="113"/>
        <v>交通公路1000</v>
      </c>
      <c r="BM57" s="157" t="str">
        <f t="shared" si="114"/>
        <v/>
      </c>
      <c r="BN57" s="157" t="str">
        <f t="shared" si="115"/>
        <v/>
      </c>
      <c r="BO57" s="157">
        <f t="shared" si="116"/>
        <v>0</v>
      </c>
      <c r="BP57" s="157">
        <f t="shared" si="117"/>
        <v>0</v>
      </c>
      <c r="BQ57" s="157">
        <f t="shared" si="118"/>
        <v>0</v>
      </c>
      <c r="BR57" s="157">
        <f t="shared" si="119"/>
        <v>0</v>
      </c>
      <c r="BS57" s="157">
        <f t="shared" si="120"/>
        <v>0</v>
      </c>
      <c r="BT57" s="181"/>
      <c r="BU57" s="206"/>
      <c r="BY57" s="7"/>
    </row>
    <row r="58" s="9" customFormat="1" ht="30" customHeight="1" spans="1:77">
      <c r="A58" s="551" t="s">
        <v>2012</v>
      </c>
      <c r="B58" s="557" t="str">
        <f>"城市基础设施（"&amp;SUBTOTAL(3,C59:C84)&amp;"个）"</f>
        <v>城市基础设施（22个）</v>
      </c>
      <c r="C58" s="557"/>
      <c r="D58" s="557"/>
      <c r="E58" s="551"/>
      <c r="F58" s="134">
        <f t="shared" ref="F58:M58" si="121">F59+F67+F72+F80</f>
        <v>150627</v>
      </c>
      <c r="G58" s="134">
        <f t="shared" si="121"/>
        <v>76315</v>
      </c>
      <c r="H58" s="134"/>
      <c r="I58" s="134">
        <f t="shared" si="121"/>
        <v>13357</v>
      </c>
      <c r="J58" s="134">
        <f t="shared" si="121"/>
        <v>30436</v>
      </c>
      <c r="K58" s="134">
        <f t="shared" si="121"/>
        <v>46378</v>
      </c>
      <c r="L58" s="134">
        <f t="shared" si="121"/>
        <v>74312</v>
      </c>
      <c r="M58" s="134">
        <f t="shared" si="121"/>
        <v>0</v>
      </c>
      <c r="N58" s="67"/>
      <c r="O58" s="67"/>
      <c r="P58" s="244"/>
      <c r="Q58" s="112"/>
      <c r="R58" s="132"/>
      <c r="S58" s="132"/>
      <c r="T58" s="132"/>
      <c r="U58" s="132"/>
      <c r="V58" s="132"/>
      <c r="W58" s="132"/>
      <c r="X58" s="132"/>
      <c r="Y58" s="132"/>
      <c r="Z58" s="132"/>
      <c r="AA58" s="132"/>
      <c r="AB58" s="132"/>
      <c r="AC58" s="132"/>
      <c r="AD58" s="132"/>
      <c r="AE58" s="132"/>
      <c r="AF58" s="132"/>
      <c r="AG58" s="132"/>
      <c r="AH58" s="132"/>
      <c r="AI58" s="90"/>
      <c r="AJ58" s="112"/>
      <c r="AK58" s="591"/>
      <c r="AL58" s="134"/>
      <c r="AM58" s="134"/>
      <c r="AN58" s="91"/>
      <c r="AO58" s="272"/>
      <c r="AP58" s="165"/>
      <c r="AQ58" s="158"/>
      <c r="AR58" s="158"/>
      <c r="AS58" s="158"/>
      <c r="AT58" s="158"/>
      <c r="AU58" s="158"/>
      <c r="AV58" s="165"/>
      <c r="AW58" s="169"/>
      <c r="AX58" s="165"/>
      <c r="AY58" s="165"/>
      <c r="AZ58" s="165"/>
      <c r="BA58" s="165"/>
      <c r="BB58" s="165"/>
      <c r="BC58" s="169"/>
      <c r="BD58" s="169"/>
      <c r="BE58" s="169"/>
      <c r="BF58" s="165"/>
      <c r="BK58" s="529"/>
      <c r="BL58" s="165"/>
      <c r="BM58" s="165"/>
      <c r="BN58" s="165"/>
      <c r="BO58" s="619"/>
      <c r="BP58" s="619"/>
      <c r="BQ58" s="619"/>
      <c r="BR58" s="619"/>
      <c r="BS58" s="619"/>
      <c r="BY58" s="7"/>
    </row>
    <row r="59" s="9" customFormat="1" ht="30" customHeight="1" spans="1:77">
      <c r="A59" s="551"/>
      <c r="B59" s="557" t="str">
        <f>"生态环保（"&amp;SUBTOTAL(3,C60:C66)&amp;"个）"</f>
        <v>生态环保（7个）</v>
      </c>
      <c r="C59" s="551"/>
      <c r="D59" s="555"/>
      <c r="E59" s="551"/>
      <c r="F59" s="134">
        <f t="shared" ref="F59:M59" si="122">SUBTOTAL(9,F60:F66)</f>
        <v>59188</v>
      </c>
      <c r="G59" s="134">
        <f t="shared" si="122"/>
        <v>19251</v>
      </c>
      <c r="H59" s="134"/>
      <c r="I59" s="134">
        <f t="shared" si="122"/>
        <v>4620</v>
      </c>
      <c r="J59" s="134">
        <f t="shared" si="122"/>
        <v>13401</v>
      </c>
      <c r="K59" s="134">
        <f t="shared" si="122"/>
        <v>22851</v>
      </c>
      <c r="L59" s="134">
        <f t="shared" si="122"/>
        <v>39937</v>
      </c>
      <c r="M59" s="134">
        <f t="shared" si="122"/>
        <v>0</v>
      </c>
      <c r="N59" s="134"/>
      <c r="O59" s="134"/>
      <c r="P59" s="244"/>
      <c r="Q59" s="112"/>
      <c r="R59" s="132"/>
      <c r="S59" s="132"/>
      <c r="T59" s="132"/>
      <c r="U59" s="132"/>
      <c r="V59" s="132"/>
      <c r="W59" s="132"/>
      <c r="X59" s="132"/>
      <c r="Y59" s="132"/>
      <c r="Z59" s="132"/>
      <c r="AA59" s="132"/>
      <c r="AB59" s="132"/>
      <c r="AC59" s="132"/>
      <c r="AD59" s="132"/>
      <c r="AE59" s="132"/>
      <c r="AF59" s="132"/>
      <c r="AG59" s="132"/>
      <c r="AH59" s="132"/>
      <c r="AI59" s="90"/>
      <c r="AJ59" s="112"/>
      <c r="AK59" s="591"/>
      <c r="AL59" s="134"/>
      <c r="AM59" s="134"/>
      <c r="AN59" s="91"/>
      <c r="AO59" s="272"/>
      <c r="AP59" s="165"/>
      <c r="AQ59" s="158"/>
      <c r="AR59" s="158"/>
      <c r="AS59" s="158"/>
      <c r="AT59" s="158"/>
      <c r="AU59" s="158"/>
      <c r="AV59" s="165"/>
      <c r="AW59" s="169"/>
      <c r="AX59" s="165"/>
      <c r="AY59" s="165"/>
      <c r="AZ59" s="165"/>
      <c r="BA59" s="165"/>
      <c r="BB59" s="165"/>
      <c r="BC59" s="169"/>
      <c r="BD59" s="169"/>
      <c r="BE59" s="169"/>
      <c r="BF59" s="165"/>
      <c r="BK59" s="529"/>
      <c r="BL59" s="165"/>
      <c r="BM59" s="165"/>
      <c r="BN59" s="165"/>
      <c r="BO59" s="165"/>
      <c r="BP59" s="165"/>
      <c r="BQ59" s="165"/>
      <c r="BR59" s="165"/>
      <c r="BS59" s="165"/>
      <c r="BT59" s="183"/>
      <c r="BY59" s="7"/>
    </row>
    <row r="60" ht="107.25" customHeight="1" spans="1:79">
      <c r="A60" s="23">
        <f>SUBTOTAL(3,C$8:C60)</f>
        <v>36</v>
      </c>
      <c r="B60" s="60" t="s">
        <v>981</v>
      </c>
      <c r="C60" s="23" t="s">
        <v>810</v>
      </c>
      <c r="D60" s="60" t="s">
        <v>982</v>
      </c>
      <c r="E60" s="59" t="s">
        <v>983</v>
      </c>
      <c r="F60" s="59">
        <v>26692</v>
      </c>
      <c r="G60" s="38">
        <v>4000</v>
      </c>
      <c r="H60" s="81" t="s">
        <v>131</v>
      </c>
      <c r="I60" s="67">
        <v>2000</v>
      </c>
      <c r="J60" s="67">
        <v>8000</v>
      </c>
      <c r="K60" s="67">
        <v>14000</v>
      </c>
      <c r="L60" s="38">
        <v>22692</v>
      </c>
      <c r="M60" s="38"/>
      <c r="N60" s="67"/>
      <c r="O60" s="582"/>
      <c r="P60" s="90" t="s">
        <v>2635</v>
      </c>
      <c r="Q60" s="90" t="s">
        <v>453</v>
      </c>
      <c r="R60" s="132">
        <v>15</v>
      </c>
      <c r="S60" s="132">
        <v>0</v>
      </c>
      <c r="T60" s="132">
        <v>15</v>
      </c>
      <c r="U60" s="132"/>
      <c r="V60" s="132"/>
      <c r="W60" s="132"/>
      <c r="X60" s="132"/>
      <c r="Y60" s="132"/>
      <c r="Z60" s="132"/>
      <c r="AA60" s="132">
        <v>3</v>
      </c>
      <c r="AB60" s="132">
        <v>0</v>
      </c>
      <c r="AC60" s="132">
        <v>3</v>
      </c>
      <c r="AD60" s="132">
        <v>7000</v>
      </c>
      <c r="AE60" s="132"/>
      <c r="AF60" s="132">
        <v>7000</v>
      </c>
      <c r="AG60" s="132"/>
      <c r="AH60" s="132"/>
      <c r="AI60" s="90"/>
      <c r="AJ60" s="90" t="s">
        <v>985</v>
      </c>
      <c r="AK60" s="123" t="s">
        <v>455</v>
      </c>
      <c r="AL60" s="35" t="s">
        <v>2636</v>
      </c>
      <c r="AM60" s="67" t="s">
        <v>986</v>
      </c>
      <c r="AN60" s="91"/>
      <c r="AO60" s="162"/>
      <c r="AP60" s="157"/>
      <c r="AQ60" s="158" t="s">
        <v>2016</v>
      </c>
      <c r="AR60" s="158" t="s">
        <v>2017</v>
      </c>
      <c r="AS60" s="158" t="str">
        <f t="shared" ref="AS60:AS66" si="123">AR60&amp;AQ60</f>
        <v>城市基础设施生态环保</v>
      </c>
      <c r="AT60" s="158" t="s">
        <v>2018</v>
      </c>
      <c r="AU60" s="158"/>
      <c r="AV60" s="161"/>
      <c r="AW60" s="161"/>
      <c r="AX60" s="160"/>
      <c r="AY60" s="157"/>
      <c r="AZ60" s="157"/>
      <c r="BA60" s="157"/>
      <c r="BB60" s="157"/>
      <c r="BC60" s="157"/>
      <c r="BD60" s="157"/>
      <c r="BE60" s="157"/>
      <c r="BF60" s="157"/>
      <c r="BG60" s="7" t="s">
        <v>205</v>
      </c>
      <c r="BH60" s="7" t="s">
        <v>1980</v>
      </c>
      <c r="BI60" s="204" t="str">
        <f t="shared" ref="BI60:BI66" si="124">BG60&amp;AM60</f>
        <v>政府市城管执法局</v>
      </c>
      <c r="BJ60" s="204" t="str">
        <f t="shared" ref="BJ60:BJ66" si="125">BH60&amp;AM60</f>
        <v>基础设施市城管执法局</v>
      </c>
      <c r="BK60" s="205">
        <f t="shared" ref="BK60:BK66" si="126">IF(N60&gt;0,1,0)</f>
        <v>0</v>
      </c>
      <c r="BL60" s="157" t="str">
        <f t="shared" ref="BL60:BL66" si="127">IF(L60&lt;1000,"",AS60&amp;"1000")</f>
        <v>城市基础设施生态环保1000</v>
      </c>
      <c r="BM60" s="157" t="str">
        <f t="shared" ref="BM60:BM66" si="128">IF(L60&lt;2000,"",AS60&amp;"2000")</f>
        <v>城市基础设施生态环保2000</v>
      </c>
      <c r="BN60" s="157" t="str">
        <f t="shared" ref="BN60:BN66" si="129">IF(L60&lt;5000,"",AS60&amp;"5000")</f>
        <v>城市基础设施生态环保5000</v>
      </c>
      <c r="BO60" s="157">
        <f t="shared" ref="BO60:BO66" si="130">IF(R60&gt;0,1,0)</f>
        <v>1</v>
      </c>
      <c r="BP60" s="157">
        <f t="shared" ref="BP60:BP66" si="131">IF(X60&gt;0,1,0)</f>
        <v>0</v>
      </c>
      <c r="BQ60" s="157">
        <f t="shared" ref="BQ60:BQ66" si="132">IF(U60&gt;0,1,0)</f>
        <v>0</v>
      </c>
      <c r="BR60" s="157">
        <f t="shared" ref="BR60:BR66" si="133">IF(AA60&gt;0,1,0)</f>
        <v>1</v>
      </c>
      <c r="BS60" s="157">
        <f t="shared" ref="BS60:BS66" si="134">IF(AD60&gt;0,1,0)</f>
        <v>1</v>
      </c>
      <c r="BT60" s="181"/>
      <c r="BU60" s="206"/>
      <c r="BW60" s="7"/>
      <c r="BX60" s="7"/>
      <c r="BY60" s="7"/>
      <c r="BZ60" s="7"/>
      <c r="CA60" s="7"/>
    </row>
    <row r="61" ht="107.25" customHeight="1" spans="1:79">
      <c r="A61" s="23">
        <f>SUBTOTAL(3,C$8:C61)</f>
        <v>37</v>
      </c>
      <c r="B61" s="55" t="s">
        <v>1230</v>
      </c>
      <c r="C61" s="35" t="s">
        <v>79</v>
      </c>
      <c r="D61" s="55" t="s">
        <v>1231</v>
      </c>
      <c r="E61" s="35" t="s">
        <v>112</v>
      </c>
      <c r="F61" s="36">
        <v>9558</v>
      </c>
      <c r="G61" s="38"/>
      <c r="H61" s="81" t="s">
        <v>2637</v>
      </c>
      <c r="I61" s="37">
        <v>300</v>
      </c>
      <c r="J61" s="37">
        <v>1000</v>
      </c>
      <c r="K61" s="37">
        <v>3000</v>
      </c>
      <c r="L61" s="36">
        <v>9558</v>
      </c>
      <c r="M61" s="38"/>
      <c r="N61" s="36"/>
      <c r="O61" s="36"/>
      <c r="P61" s="112"/>
      <c r="Q61" s="112"/>
      <c r="R61" s="132"/>
      <c r="S61" s="132"/>
      <c r="T61" s="132"/>
      <c r="U61" s="132"/>
      <c r="V61" s="132"/>
      <c r="W61" s="132"/>
      <c r="X61" s="132"/>
      <c r="Y61" s="132"/>
      <c r="Z61" s="132"/>
      <c r="AA61" s="132"/>
      <c r="AB61" s="132"/>
      <c r="AC61" s="132"/>
      <c r="AD61" s="132"/>
      <c r="AE61" s="132"/>
      <c r="AF61" s="132"/>
      <c r="AG61" s="132"/>
      <c r="AH61" s="132"/>
      <c r="AI61" s="90"/>
      <c r="AJ61" s="112" t="s">
        <v>117</v>
      </c>
      <c r="AK61" s="34" t="s">
        <v>1233</v>
      </c>
      <c r="AL61" s="35" t="s">
        <v>2638</v>
      </c>
      <c r="AM61" s="35" t="s">
        <v>986</v>
      </c>
      <c r="AN61" s="91"/>
      <c r="AO61" s="162"/>
      <c r="AP61" s="157"/>
      <c r="AQ61" s="158" t="s">
        <v>2016</v>
      </c>
      <c r="AR61" s="158" t="s">
        <v>2017</v>
      </c>
      <c r="AS61" s="158" t="str">
        <f t="shared" si="123"/>
        <v>城市基础设施生态环保</v>
      </c>
      <c r="AT61" s="158" t="s">
        <v>2018</v>
      </c>
      <c r="AU61" s="158"/>
      <c r="AV61" s="161"/>
      <c r="AW61" s="161"/>
      <c r="AX61" s="160"/>
      <c r="AY61" s="157"/>
      <c r="AZ61" s="157"/>
      <c r="BA61" s="157"/>
      <c r="BB61" s="157"/>
      <c r="BC61" s="157"/>
      <c r="BD61" s="157"/>
      <c r="BE61" s="157"/>
      <c r="BF61" s="157"/>
      <c r="BG61" s="7" t="s">
        <v>205</v>
      </c>
      <c r="BH61" s="7" t="s">
        <v>1980</v>
      </c>
      <c r="BI61" s="204" t="str">
        <f t="shared" si="124"/>
        <v>政府市城管执法局</v>
      </c>
      <c r="BJ61" s="204" t="str">
        <f t="shared" si="125"/>
        <v>基础设施市城管执法局</v>
      </c>
      <c r="BK61" s="205">
        <f t="shared" si="126"/>
        <v>0</v>
      </c>
      <c r="BL61" s="157" t="str">
        <f t="shared" si="127"/>
        <v>城市基础设施生态环保1000</v>
      </c>
      <c r="BM61" s="157" t="str">
        <f t="shared" si="128"/>
        <v>城市基础设施生态环保2000</v>
      </c>
      <c r="BN61" s="157" t="str">
        <f t="shared" si="129"/>
        <v>城市基础设施生态环保5000</v>
      </c>
      <c r="BO61" s="157">
        <f t="shared" si="130"/>
        <v>0</v>
      </c>
      <c r="BP61" s="157">
        <f t="shared" si="131"/>
        <v>0</v>
      </c>
      <c r="BQ61" s="157">
        <f t="shared" si="132"/>
        <v>0</v>
      </c>
      <c r="BR61" s="157">
        <f t="shared" si="133"/>
        <v>0</v>
      </c>
      <c r="BS61" s="157">
        <f t="shared" si="134"/>
        <v>0</v>
      </c>
      <c r="BT61" s="181"/>
      <c r="BU61" s="206"/>
      <c r="BW61" s="7"/>
      <c r="BX61" s="7"/>
      <c r="BY61" s="7"/>
      <c r="BZ61" s="7"/>
      <c r="CA61" s="7"/>
    </row>
    <row r="62" ht="95.25" customHeight="1" spans="1:79">
      <c r="A62" s="23">
        <f>SUBTOTAL(3,C$8:C62)</f>
        <v>38</v>
      </c>
      <c r="B62" s="55" t="s">
        <v>992</v>
      </c>
      <c r="C62" s="35" t="s">
        <v>810</v>
      </c>
      <c r="D62" s="34" t="s">
        <v>993</v>
      </c>
      <c r="E62" s="35" t="s">
        <v>832</v>
      </c>
      <c r="F62" s="38">
        <v>9266</v>
      </c>
      <c r="G62" s="38">
        <v>7710</v>
      </c>
      <c r="H62" s="81" t="s">
        <v>113</v>
      </c>
      <c r="I62" s="37">
        <v>1000</v>
      </c>
      <c r="J62" s="37">
        <v>1556</v>
      </c>
      <c r="K62" s="37">
        <v>1556</v>
      </c>
      <c r="L62" s="38">
        <v>1556</v>
      </c>
      <c r="M62" s="38"/>
      <c r="N62" s="36"/>
      <c r="O62" s="36"/>
      <c r="P62" s="112" t="s">
        <v>2639</v>
      </c>
      <c r="Q62" s="112" t="s">
        <v>2640</v>
      </c>
      <c r="R62" s="132"/>
      <c r="S62" s="132"/>
      <c r="T62" s="132"/>
      <c r="U62" s="132"/>
      <c r="V62" s="132"/>
      <c r="W62" s="132"/>
      <c r="X62" s="132"/>
      <c r="Y62" s="132"/>
      <c r="Z62" s="132"/>
      <c r="AA62" s="132"/>
      <c r="AB62" s="132"/>
      <c r="AC62" s="132"/>
      <c r="AD62" s="132">
        <v>1556</v>
      </c>
      <c r="AE62" s="132"/>
      <c r="AF62" s="132"/>
      <c r="AG62" s="132"/>
      <c r="AH62" s="132">
        <v>1556</v>
      </c>
      <c r="AI62" s="90"/>
      <c r="AJ62" s="112" t="s">
        <v>117</v>
      </c>
      <c r="AK62" s="123" t="s">
        <v>455</v>
      </c>
      <c r="AL62" s="35" t="s">
        <v>2641</v>
      </c>
      <c r="AM62" s="67" t="s">
        <v>986</v>
      </c>
      <c r="AN62" s="91"/>
      <c r="AO62" s="162"/>
      <c r="AP62" s="157"/>
      <c r="AQ62" s="158" t="s">
        <v>2016</v>
      </c>
      <c r="AR62" s="158" t="s">
        <v>2017</v>
      </c>
      <c r="AS62" s="158" t="str">
        <f t="shared" si="123"/>
        <v>城市基础设施生态环保</v>
      </c>
      <c r="AT62" s="158" t="s">
        <v>2018</v>
      </c>
      <c r="AU62" s="158"/>
      <c r="AV62" s="161"/>
      <c r="AW62" s="161"/>
      <c r="AX62" s="160"/>
      <c r="AY62" s="157"/>
      <c r="AZ62" s="157"/>
      <c r="BA62" s="157"/>
      <c r="BB62" s="157"/>
      <c r="BC62" s="157"/>
      <c r="BD62" s="157"/>
      <c r="BE62" s="157"/>
      <c r="BF62" s="157"/>
      <c r="BG62" s="7" t="s">
        <v>205</v>
      </c>
      <c r="BH62" s="7" t="s">
        <v>1980</v>
      </c>
      <c r="BI62" s="204" t="str">
        <f t="shared" si="124"/>
        <v>政府市城管执法局</v>
      </c>
      <c r="BJ62" s="204" t="str">
        <f t="shared" si="125"/>
        <v>基础设施市城管执法局</v>
      </c>
      <c r="BK62" s="205">
        <f t="shared" si="126"/>
        <v>0</v>
      </c>
      <c r="BL62" s="157" t="str">
        <f t="shared" si="127"/>
        <v>城市基础设施生态环保1000</v>
      </c>
      <c r="BM62" s="157" t="str">
        <f t="shared" si="128"/>
        <v/>
      </c>
      <c r="BN62" s="157" t="str">
        <f t="shared" si="129"/>
        <v/>
      </c>
      <c r="BO62" s="157">
        <f t="shared" si="130"/>
        <v>0</v>
      </c>
      <c r="BP62" s="157">
        <f t="shared" si="131"/>
        <v>0</v>
      </c>
      <c r="BQ62" s="157">
        <f t="shared" si="132"/>
        <v>0</v>
      </c>
      <c r="BR62" s="157">
        <f t="shared" si="133"/>
        <v>0</v>
      </c>
      <c r="BS62" s="157">
        <f t="shared" si="134"/>
        <v>1</v>
      </c>
      <c r="BT62" s="181"/>
      <c r="BU62" s="206"/>
      <c r="BW62" s="7"/>
      <c r="BX62" s="7"/>
      <c r="BY62" s="7"/>
      <c r="BZ62" s="7"/>
      <c r="CA62" s="7"/>
    </row>
    <row r="63" ht="87.75" customHeight="1" spans="1:79">
      <c r="A63" s="23">
        <f>SUBTOTAL(3,C$8:C63)</f>
        <v>39</v>
      </c>
      <c r="B63" s="54" t="s">
        <v>2642</v>
      </c>
      <c r="C63" s="67" t="s">
        <v>810</v>
      </c>
      <c r="D63" s="123" t="s">
        <v>996</v>
      </c>
      <c r="E63" s="67" t="s">
        <v>812</v>
      </c>
      <c r="F63" s="67">
        <v>4300</v>
      </c>
      <c r="G63" s="67">
        <v>3355</v>
      </c>
      <c r="H63" s="81" t="s">
        <v>131</v>
      </c>
      <c r="I63" s="37">
        <v>600</v>
      </c>
      <c r="J63" s="37">
        <v>945</v>
      </c>
      <c r="K63" s="37">
        <v>945</v>
      </c>
      <c r="L63" s="38">
        <f>F63-G63</f>
        <v>945</v>
      </c>
      <c r="M63" s="38"/>
      <c r="N63" s="36"/>
      <c r="O63" s="36"/>
      <c r="P63" s="112" t="s">
        <v>2639</v>
      </c>
      <c r="Q63" s="112"/>
      <c r="R63" s="132"/>
      <c r="S63" s="132"/>
      <c r="T63" s="132"/>
      <c r="U63" s="132"/>
      <c r="V63" s="132"/>
      <c r="W63" s="132"/>
      <c r="X63" s="132"/>
      <c r="Y63" s="132"/>
      <c r="Z63" s="132"/>
      <c r="AA63" s="132"/>
      <c r="AB63" s="132"/>
      <c r="AC63" s="132"/>
      <c r="AD63" s="132">
        <v>1556</v>
      </c>
      <c r="AE63" s="132"/>
      <c r="AF63" s="132"/>
      <c r="AG63" s="132"/>
      <c r="AH63" s="132">
        <v>1556</v>
      </c>
      <c r="AI63" s="90"/>
      <c r="AJ63" s="112" t="s">
        <v>997</v>
      </c>
      <c r="AK63" s="123" t="s">
        <v>455</v>
      </c>
      <c r="AL63" s="67" t="s">
        <v>2643</v>
      </c>
      <c r="AM63" s="67" t="s">
        <v>986</v>
      </c>
      <c r="AN63" s="91"/>
      <c r="AO63" s="162"/>
      <c r="AP63" s="157"/>
      <c r="AQ63" s="158" t="s">
        <v>2016</v>
      </c>
      <c r="AR63" s="158" t="s">
        <v>2017</v>
      </c>
      <c r="AS63" s="158" t="str">
        <f t="shared" si="123"/>
        <v>城市基础设施生态环保</v>
      </c>
      <c r="AT63" s="158" t="s">
        <v>2018</v>
      </c>
      <c r="AU63" s="158"/>
      <c r="AV63" s="161"/>
      <c r="AW63" s="161"/>
      <c r="AX63" s="160"/>
      <c r="AY63" s="157"/>
      <c r="AZ63" s="157"/>
      <c r="BA63" s="157"/>
      <c r="BB63" s="157"/>
      <c r="BC63" s="157"/>
      <c r="BD63" s="157"/>
      <c r="BE63" s="157"/>
      <c r="BF63" s="157"/>
      <c r="BG63" s="7" t="s">
        <v>205</v>
      </c>
      <c r="BH63" s="7" t="s">
        <v>1980</v>
      </c>
      <c r="BI63" s="204" t="str">
        <f t="shared" si="124"/>
        <v>政府市城管执法局</v>
      </c>
      <c r="BJ63" s="204" t="str">
        <f t="shared" si="125"/>
        <v>基础设施市城管执法局</v>
      </c>
      <c r="BK63" s="205">
        <f t="shared" si="126"/>
        <v>0</v>
      </c>
      <c r="BL63" s="157" t="str">
        <f t="shared" si="127"/>
        <v/>
      </c>
      <c r="BM63" s="157" t="str">
        <f t="shared" si="128"/>
        <v/>
      </c>
      <c r="BN63" s="157" t="str">
        <f t="shared" si="129"/>
        <v/>
      </c>
      <c r="BO63" s="157">
        <f t="shared" si="130"/>
        <v>0</v>
      </c>
      <c r="BP63" s="157">
        <f t="shared" si="131"/>
        <v>0</v>
      </c>
      <c r="BQ63" s="157">
        <f t="shared" si="132"/>
        <v>0</v>
      </c>
      <c r="BR63" s="157">
        <f t="shared" si="133"/>
        <v>0</v>
      </c>
      <c r="BS63" s="157">
        <f t="shared" si="134"/>
        <v>1</v>
      </c>
      <c r="BT63" s="181"/>
      <c r="BU63" s="206"/>
      <c r="BW63" s="7"/>
      <c r="BX63" s="7"/>
      <c r="BY63" s="7"/>
      <c r="BZ63" s="7"/>
      <c r="CA63" s="7"/>
    </row>
    <row r="64" ht="87" customHeight="1" spans="1:79">
      <c r="A64" s="23">
        <f>SUBTOTAL(3,C$8:C64)</f>
        <v>40</v>
      </c>
      <c r="B64" s="88" t="s">
        <v>1300</v>
      </c>
      <c r="C64" s="67" t="s">
        <v>810</v>
      </c>
      <c r="D64" s="55" t="s">
        <v>1301</v>
      </c>
      <c r="E64" s="35" t="s">
        <v>983</v>
      </c>
      <c r="F64" s="36">
        <v>2176</v>
      </c>
      <c r="G64" s="36">
        <v>286</v>
      </c>
      <c r="H64" s="81" t="s">
        <v>131</v>
      </c>
      <c r="I64" s="35">
        <v>50</v>
      </c>
      <c r="J64" s="35">
        <v>350</v>
      </c>
      <c r="K64" s="35">
        <v>1000</v>
      </c>
      <c r="L64" s="36">
        <v>1890</v>
      </c>
      <c r="M64" s="36"/>
      <c r="N64" s="67"/>
      <c r="O64" s="582"/>
      <c r="P64" s="90" t="s">
        <v>2635</v>
      </c>
      <c r="Q64" s="90"/>
      <c r="R64" s="132">
        <v>15</v>
      </c>
      <c r="S64" s="132">
        <v>0</v>
      </c>
      <c r="T64" s="132">
        <v>15</v>
      </c>
      <c r="U64" s="132"/>
      <c r="V64" s="132"/>
      <c r="W64" s="132"/>
      <c r="X64" s="132"/>
      <c r="Y64" s="132"/>
      <c r="Z64" s="132"/>
      <c r="AA64" s="132">
        <v>3</v>
      </c>
      <c r="AB64" s="132">
        <v>0</v>
      </c>
      <c r="AC64" s="132">
        <v>3</v>
      </c>
      <c r="AD64" s="132">
        <v>7000</v>
      </c>
      <c r="AE64" s="132"/>
      <c r="AF64" s="132">
        <v>7000</v>
      </c>
      <c r="AG64" s="132"/>
      <c r="AH64" s="132"/>
      <c r="AI64" s="90"/>
      <c r="AJ64" s="90" t="s">
        <v>1303</v>
      </c>
      <c r="AK64" s="34" t="s">
        <v>1040</v>
      </c>
      <c r="AL64" s="35" t="s">
        <v>2027</v>
      </c>
      <c r="AM64" s="35" t="s">
        <v>498</v>
      </c>
      <c r="AN64" s="91"/>
      <c r="AO64" s="162"/>
      <c r="AP64" s="157"/>
      <c r="AQ64" s="158" t="s">
        <v>2016</v>
      </c>
      <c r="AR64" s="158" t="s">
        <v>2017</v>
      </c>
      <c r="AS64" s="158" t="str">
        <f t="shared" si="123"/>
        <v>城市基础设施生态环保</v>
      </c>
      <c r="AT64" s="158" t="s">
        <v>2018</v>
      </c>
      <c r="AU64" s="158"/>
      <c r="AV64" s="161"/>
      <c r="AW64" s="161"/>
      <c r="AX64" s="160"/>
      <c r="AY64" s="157"/>
      <c r="AZ64" s="157"/>
      <c r="BA64" s="157"/>
      <c r="BB64" s="157"/>
      <c r="BC64" s="157"/>
      <c r="BD64" s="157"/>
      <c r="BE64" s="157"/>
      <c r="BF64" s="157"/>
      <c r="BG64" s="7" t="s">
        <v>205</v>
      </c>
      <c r="BH64" s="7" t="s">
        <v>1980</v>
      </c>
      <c r="BI64" s="204" t="str">
        <f t="shared" si="124"/>
        <v>政府市滨海新城管委</v>
      </c>
      <c r="BJ64" s="204" t="str">
        <f t="shared" si="125"/>
        <v>基础设施市滨海新城管委</v>
      </c>
      <c r="BK64" s="205">
        <f t="shared" si="126"/>
        <v>0</v>
      </c>
      <c r="BL64" s="157" t="str">
        <f t="shared" si="127"/>
        <v>城市基础设施生态环保1000</v>
      </c>
      <c r="BM64" s="157" t="str">
        <f t="shared" si="128"/>
        <v/>
      </c>
      <c r="BN64" s="157" t="str">
        <f t="shared" si="129"/>
        <v/>
      </c>
      <c r="BO64" s="157">
        <f t="shared" si="130"/>
        <v>1</v>
      </c>
      <c r="BP64" s="157">
        <f t="shared" si="131"/>
        <v>0</v>
      </c>
      <c r="BQ64" s="157">
        <f t="shared" si="132"/>
        <v>0</v>
      </c>
      <c r="BR64" s="157">
        <f t="shared" si="133"/>
        <v>1</v>
      </c>
      <c r="BS64" s="157">
        <f t="shared" si="134"/>
        <v>1</v>
      </c>
      <c r="BT64" s="181"/>
      <c r="BU64" s="206"/>
      <c r="BW64" s="7"/>
      <c r="BX64" s="7"/>
      <c r="BY64" s="7"/>
      <c r="BZ64" s="7"/>
      <c r="CA64" s="7"/>
    </row>
    <row r="65" ht="79.5" customHeight="1" spans="1:77">
      <c r="A65" s="23">
        <f>SUBTOTAL(3,C$8:C65)</f>
        <v>41</v>
      </c>
      <c r="B65" s="626" t="s">
        <v>1675</v>
      </c>
      <c r="C65" s="50" t="s">
        <v>810</v>
      </c>
      <c r="D65" s="66" t="s">
        <v>1676</v>
      </c>
      <c r="E65" s="34" t="s">
        <v>832</v>
      </c>
      <c r="F65" s="36">
        <v>2196</v>
      </c>
      <c r="G65" s="35">
        <v>1500</v>
      </c>
      <c r="H65" s="627" t="s">
        <v>131</v>
      </c>
      <c r="I65" s="37">
        <v>170</v>
      </c>
      <c r="J65" s="37">
        <v>350</v>
      </c>
      <c r="K65" s="37">
        <v>550</v>
      </c>
      <c r="L65" s="36">
        <v>696</v>
      </c>
      <c r="M65" s="36"/>
      <c r="N65" s="50"/>
      <c r="O65" s="36"/>
      <c r="P65" s="112"/>
      <c r="Q65" s="112" t="s">
        <v>117</v>
      </c>
      <c r="R65" s="132">
        <v>9.69</v>
      </c>
      <c r="S65" s="132">
        <v>9.69</v>
      </c>
      <c r="T65" s="132"/>
      <c r="U65" s="132"/>
      <c r="V65" s="132"/>
      <c r="W65" s="132"/>
      <c r="X65" s="132"/>
      <c r="Y65" s="132"/>
      <c r="Z65" s="132"/>
      <c r="AA65" s="132"/>
      <c r="AB65" s="132"/>
      <c r="AC65" s="132"/>
      <c r="AD65" s="132">
        <v>2600</v>
      </c>
      <c r="AE65" s="132"/>
      <c r="AF65" s="132"/>
      <c r="AG65" s="132"/>
      <c r="AH65" s="132">
        <v>2600</v>
      </c>
      <c r="AI65" s="644"/>
      <c r="AJ65" s="112" t="s">
        <v>117</v>
      </c>
      <c r="AK65" s="123" t="s">
        <v>1677</v>
      </c>
      <c r="AL65" s="35" t="s">
        <v>2644</v>
      </c>
      <c r="AM65" s="35" t="s">
        <v>269</v>
      </c>
      <c r="AN65" s="91"/>
      <c r="AO65" s="162"/>
      <c r="AP65" s="157"/>
      <c r="AQ65" s="158" t="s">
        <v>2016</v>
      </c>
      <c r="AR65" s="158" t="s">
        <v>2017</v>
      </c>
      <c r="AS65" s="158" t="str">
        <f t="shared" si="123"/>
        <v>城市基础设施生态环保</v>
      </c>
      <c r="AT65" s="158" t="s">
        <v>2018</v>
      </c>
      <c r="AU65" s="158"/>
      <c r="AV65" s="161"/>
      <c r="AW65" s="161"/>
      <c r="AX65" s="160"/>
      <c r="AY65" s="157"/>
      <c r="AZ65" s="157"/>
      <c r="BA65" s="157"/>
      <c r="BB65" s="157"/>
      <c r="BC65" s="157"/>
      <c r="BD65" s="157"/>
      <c r="BE65" s="157"/>
      <c r="BF65" s="157"/>
      <c r="BG65" s="7" t="s">
        <v>92</v>
      </c>
      <c r="BH65" s="7" t="s">
        <v>1980</v>
      </c>
      <c r="BI65" s="204" t="str">
        <f t="shared" si="124"/>
        <v>企业灵山县人民政府</v>
      </c>
      <c r="BJ65" s="204" t="str">
        <f t="shared" si="125"/>
        <v>基础设施灵山县人民政府</v>
      </c>
      <c r="BK65" s="205">
        <f t="shared" si="126"/>
        <v>0</v>
      </c>
      <c r="BL65" s="157" t="str">
        <f t="shared" si="127"/>
        <v/>
      </c>
      <c r="BM65" s="157" t="str">
        <f t="shared" si="128"/>
        <v/>
      </c>
      <c r="BN65" s="157" t="str">
        <f t="shared" si="129"/>
        <v/>
      </c>
      <c r="BO65" s="157">
        <f t="shared" si="130"/>
        <v>1</v>
      </c>
      <c r="BP65" s="157">
        <f t="shared" si="131"/>
        <v>0</v>
      </c>
      <c r="BQ65" s="157">
        <f t="shared" si="132"/>
        <v>0</v>
      </c>
      <c r="BR65" s="157">
        <f t="shared" si="133"/>
        <v>0</v>
      </c>
      <c r="BS65" s="157">
        <f t="shared" si="134"/>
        <v>1</v>
      </c>
      <c r="BT65" s="181"/>
      <c r="BU65" s="206"/>
      <c r="BY65" s="7"/>
    </row>
    <row r="66" ht="79.5" customHeight="1" spans="1:77">
      <c r="A66" s="23">
        <f>SUBTOTAL(3,C$8:C66)</f>
        <v>42</v>
      </c>
      <c r="B66" s="243" t="s">
        <v>1364</v>
      </c>
      <c r="C66" s="35" t="s">
        <v>810</v>
      </c>
      <c r="D66" s="565" t="s">
        <v>1365</v>
      </c>
      <c r="E66" s="35" t="s">
        <v>832</v>
      </c>
      <c r="F66" s="35">
        <v>5000</v>
      </c>
      <c r="G66" s="35">
        <v>2400</v>
      </c>
      <c r="H66" s="81" t="s">
        <v>283</v>
      </c>
      <c r="I66" s="37">
        <v>500</v>
      </c>
      <c r="J66" s="37">
        <v>1200</v>
      </c>
      <c r="K66" s="37">
        <v>1800</v>
      </c>
      <c r="L66" s="35">
        <v>2600</v>
      </c>
      <c r="M66" s="35"/>
      <c r="N66" s="50"/>
      <c r="O66" s="36"/>
      <c r="P66" s="34" t="s">
        <v>2645</v>
      </c>
      <c r="Q66" s="112" t="s">
        <v>117</v>
      </c>
      <c r="R66" s="132">
        <v>9.69</v>
      </c>
      <c r="S66" s="132">
        <v>9.69</v>
      </c>
      <c r="T66" s="132"/>
      <c r="U66" s="132"/>
      <c r="V66" s="132"/>
      <c r="W66" s="132"/>
      <c r="X66" s="132"/>
      <c r="Y66" s="132"/>
      <c r="Z66" s="132"/>
      <c r="AA66" s="132"/>
      <c r="AB66" s="132"/>
      <c r="AC66" s="132"/>
      <c r="AD66" s="132">
        <v>2600</v>
      </c>
      <c r="AE66" s="132"/>
      <c r="AF66" s="132"/>
      <c r="AG66" s="132"/>
      <c r="AH66" s="132">
        <v>2600</v>
      </c>
      <c r="AI66" s="644"/>
      <c r="AJ66" s="645" t="s">
        <v>1366</v>
      </c>
      <c r="AK66" s="34" t="s">
        <v>785</v>
      </c>
      <c r="AL66" s="67" t="s">
        <v>2038</v>
      </c>
      <c r="AM66" s="35" t="s">
        <v>317</v>
      </c>
      <c r="AN66" s="91"/>
      <c r="AO66" s="162"/>
      <c r="AP66" s="157"/>
      <c r="AQ66" s="158" t="s">
        <v>2016</v>
      </c>
      <c r="AR66" s="158" t="s">
        <v>2017</v>
      </c>
      <c r="AS66" s="158" t="str">
        <f t="shared" si="123"/>
        <v>城市基础设施生态环保</v>
      </c>
      <c r="AT66" s="158" t="s">
        <v>2018</v>
      </c>
      <c r="AU66" s="158"/>
      <c r="AV66" s="161"/>
      <c r="AW66" s="161"/>
      <c r="AX66" s="160"/>
      <c r="AY66" s="157"/>
      <c r="AZ66" s="157"/>
      <c r="BA66" s="157"/>
      <c r="BB66" s="157"/>
      <c r="BC66" s="157"/>
      <c r="BD66" s="157"/>
      <c r="BE66" s="157"/>
      <c r="BF66" s="157"/>
      <c r="BG66" s="7" t="s">
        <v>205</v>
      </c>
      <c r="BH66" s="7" t="s">
        <v>1980</v>
      </c>
      <c r="BI66" s="204" t="str">
        <f t="shared" si="124"/>
        <v>政府浦北县人民政府</v>
      </c>
      <c r="BJ66" s="204" t="str">
        <f t="shared" si="125"/>
        <v>基础设施浦北县人民政府</v>
      </c>
      <c r="BK66" s="205">
        <f t="shared" si="126"/>
        <v>0</v>
      </c>
      <c r="BL66" s="157" t="str">
        <f t="shared" si="127"/>
        <v>城市基础设施生态环保1000</v>
      </c>
      <c r="BM66" s="157" t="str">
        <f t="shared" si="128"/>
        <v>城市基础设施生态环保2000</v>
      </c>
      <c r="BN66" s="157" t="str">
        <f t="shared" si="129"/>
        <v/>
      </c>
      <c r="BO66" s="157">
        <f t="shared" si="130"/>
        <v>1</v>
      </c>
      <c r="BP66" s="157">
        <f t="shared" si="131"/>
        <v>0</v>
      </c>
      <c r="BQ66" s="157">
        <f t="shared" si="132"/>
        <v>0</v>
      </c>
      <c r="BR66" s="157">
        <f t="shared" si="133"/>
        <v>0</v>
      </c>
      <c r="BS66" s="157">
        <f t="shared" si="134"/>
        <v>1</v>
      </c>
      <c r="BT66" s="181"/>
      <c r="BU66" s="206"/>
      <c r="BY66" s="7"/>
    </row>
    <row r="67" s="9" customFormat="1" ht="30" customHeight="1" spans="1:77">
      <c r="A67" s="551"/>
      <c r="B67" s="557" t="str">
        <f>"路网工程（"&amp;SUBTOTAL(3,C68:C71)&amp;"个）"</f>
        <v>路网工程（4个）</v>
      </c>
      <c r="C67" s="551"/>
      <c r="D67" s="555"/>
      <c r="E67" s="551"/>
      <c r="F67" s="134">
        <f t="shared" ref="F67:M67" si="135">SUBTOTAL(9,F68:F71)</f>
        <v>19615</v>
      </c>
      <c r="G67" s="134">
        <f t="shared" si="135"/>
        <v>15959</v>
      </c>
      <c r="H67" s="134"/>
      <c r="I67" s="134">
        <f t="shared" si="135"/>
        <v>750</v>
      </c>
      <c r="J67" s="134">
        <f t="shared" si="135"/>
        <v>1420</v>
      </c>
      <c r="K67" s="134">
        <f t="shared" si="135"/>
        <v>2060</v>
      </c>
      <c r="L67" s="134">
        <f t="shared" si="135"/>
        <v>3656</v>
      </c>
      <c r="M67" s="134">
        <f t="shared" si="135"/>
        <v>0</v>
      </c>
      <c r="N67" s="134"/>
      <c r="O67" s="134"/>
      <c r="P67" s="244"/>
      <c r="Q67" s="112"/>
      <c r="R67" s="132"/>
      <c r="S67" s="132"/>
      <c r="T67" s="132"/>
      <c r="U67" s="132"/>
      <c r="V67" s="132"/>
      <c r="W67" s="132"/>
      <c r="X67" s="132"/>
      <c r="Y67" s="132"/>
      <c r="Z67" s="132"/>
      <c r="AA67" s="132"/>
      <c r="AB67" s="132"/>
      <c r="AC67" s="132"/>
      <c r="AD67" s="132"/>
      <c r="AE67" s="132"/>
      <c r="AF67" s="132"/>
      <c r="AG67" s="132"/>
      <c r="AH67" s="132"/>
      <c r="AI67" s="90"/>
      <c r="AJ67" s="112"/>
      <c r="AK67" s="591"/>
      <c r="AL67" s="134"/>
      <c r="AM67" s="134"/>
      <c r="AN67" s="91"/>
      <c r="AO67" s="272"/>
      <c r="AP67" s="165"/>
      <c r="AQ67" s="158"/>
      <c r="AR67" s="158"/>
      <c r="AS67" s="158"/>
      <c r="AT67" s="158"/>
      <c r="AU67" s="158"/>
      <c r="AV67" s="165"/>
      <c r="AW67" s="169"/>
      <c r="AX67" s="165"/>
      <c r="AY67" s="165"/>
      <c r="AZ67" s="165"/>
      <c r="BA67" s="165"/>
      <c r="BB67" s="165"/>
      <c r="BC67" s="169"/>
      <c r="BD67" s="169"/>
      <c r="BE67" s="169"/>
      <c r="BF67" s="165"/>
      <c r="BK67" s="529"/>
      <c r="BL67" s="165"/>
      <c r="BM67" s="165"/>
      <c r="BN67" s="165"/>
      <c r="BO67" s="165"/>
      <c r="BP67" s="165"/>
      <c r="BQ67" s="165"/>
      <c r="BR67" s="165"/>
      <c r="BS67" s="165"/>
      <c r="BT67" s="183"/>
      <c r="BY67" s="7"/>
    </row>
    <row r="68" ht="113.25" customHeight="1" spans="1:79">
      <c r="A68" s="23">
        <f>SUBTOTAL(3,C$8:C68)</f>
        <v>43</v>
      </c>
      <c r="B68" s="55" t="s">
        <v>1266</v>
      </c>
      <c r="C68" s="35" t="s">
        <v>810</v>
      </c>
      <c r="D68" s="34" t="s">
        <v>1267</v>
      </c>
      <c r="E68" s="35" t="s">
        <v>841</v>
      </c>
      <c r="F68" s="36">
        <v>8018</v>
      </c>
      <c r="G68" s="36">
        <v>7018</v>
      </c>
      <c r="H68" s="81" t="s">
        <v>131</v>
      </c>
      <c r="I68" s="81"/>
      <c r="J68" s="37">
        <v>200</v>
      </c>
      <c r="K68" s="37">
        <v>500</v>
      </c>
      <c r="L68" s="38">
        <v>1000</v>
      </c>
      <c r="M68" s="38"/>
      <c r="N68" s="36"/>
      <c r="O68" s="36"/>
      <c r="P68" s="244" t="s">
        <v>2646</v>
      </c>
      <c r="Q68" s="112" t="s">
        <v>2647</v>
      </c>
      <c r="R68" s="132">
        <v>195</v>
      </c>
      <c r="S68" s="132">
        <v>100</v>
      </c>
      <c r="T68" s="132">
        <v>95</v>
      </c>
      <c r="U68" s="132"/>
      <c r="V68" s="132"/>
      <c r="W68" s="132"/>
      <c r="X68" s="132"/>
      <c r="Y68" s="132"/>
      <c r="Z68" s="132"/>
      <c r="AA68" s="132"/>
      <c r="AB68" s="132"/>
      <c r="AC68" s="132"/>
      <c r="AD68" s="132">
        <v>1000</v>
      </c>
      <c r="AE68" s="132"/>
      <c r="AF68" s="132"/>
      <c r="AG68" s="132"/>
      <c r="AH68" s="132">
        <v>1000</v>
      </c>
      <c r="AI68" s="90"/>
      <c r="AJ68" s="244" t="s">
        <v>2648</v>
      </c>
      <c r="AK68" s="123" t="s">
        <v>455</v>
      </c>
      <c r="AL68" s="67" t="s">
        <v>2342</v>
      </c>
      <c r="AM68" s="67" t="s">
        <v>979</v>
      </c>
      <c r="AN68" s="91"/>
      <c r="AO68" s="162"/>
      <c r="AP68" s="157"/>
      <c r="AQ68" s="158" t="s">
        <v>2020</v>
      </c>
      <c r="AR68" s="158" t="s">
        <v>2017</v>
      </c>
      <c r="AS68" s="158" t="str">
        <f t="shared" ref="AS68:AS71" si="136">AR68&amp;AQ68</f>
        <v>城市基础设施路网工程</v>
      </c>
      <c r="AT68" s="158" t="s">
        <v>2021</v>
      </c>
      <c r="AU68" s="158"/>
      <c r="AV68" s="161"/>
      <c r="AW68" s="161"/>
      <c r="AX68" s="160"/>
      <c r="AY68" s="157"/>
      <c r="AZ68" s="157"/>
      <c r="BA68" s="157"/>
      <c r="BB68" s="157"/>
      <c r="BC68" s="157"/>
      <c r="BD68" s="157"/>
      <c r="BE68" s="157"/>
      <c r="BF68" s="157"/>
      <c r="BG68" s="7" t="s">
        <v>205</v>
      </c>
      <c r="BH68" s="7" t="s">
        <v>1980</v>
      </c>
      <c r="BI68" s="204" t="str">
        <f t="shared" ref="BI68:BI71" si="137">BG68&amp;AM68</f>
        <v>政府市住房城乡建设局</v>
      </c>
      <c r="BJ68" s="204" t="str">
        <f t="shared" ref="BJ68:BJ71" si="138">BH68&amp;AM68</f>
        <v>基础设施市住房城乡建设局</v>
      </c>
      <c r="BK68" s="205">
        <f t="shared" ref="BK68:BK71" si="139">IF(N68&gt;0,1,0)</f>
        <v>0</v>
      </c>
      <c r="BL68" s="157" t="str">
        <f t="shared" ref="BL68:BL71" si="140">IF(L68&lt;1000,"",AS68&amp;"1000")</f>
        <v>城市基础设施路网工程1000</v>
      </c>
      <c r="BM68" s="157" t="str">
        <f t="shared" ref="BM68:BM71" si="141">IF(L68&lt;2000,"",AS68&amp;"2000")</f>
        <v/>
      </c>
      <c r="BN68" s="157" t="str">
        <f t="shared" ref="BN68:BN71" si="142">IF(L68&lt;5000,"",AS68&amp;"5000")</f>
        <v/>
      </c>
      <c r="BO68" s="157">
        <f t="shared" ref="BO68:BO71" si="143">IF(R68&gt;0,1,0)</f>
        <v>1</v>
      </c>
      <c r="BP68" s="157">
        <f t="shared" ref="BP68:BP71" si="144">IF(X68&gt;0,1,0)</f>
        <v>0</v>
      </c>
      <c r="BQ68" s="157">
        <f t="shared" ref="BQ68:BQ71" si="145">IF(U68&gt;0,1,0)</f>
        <v>0</v>
      </c>
      <c r="BR68" s="157">
        <f t="shared" ref="BR68:BR71" si="146">IF(AA68&gt;0,1,0)</f>
        <v>0</v>
      </c>
      <c r="BS68" s="157">
        <f t="shared" ref="BS68:BS71" si="147">IF(AD68&gt;0,1,0)</f>
        <v>1</v>
      </c>
      <c r="BT68" s="181"/>
      <c r="BU68" s="206"/>
      <c r="BW68" s="7"/>
      <c r="BX68" s="7"/>
      <c r="BY68" s="7"/>
      <c r="BZ68" s="7"/>
      <c r="CA68" s="7"/>
    </row>
    <row r="69" ht="87.75" customHeight="1" spans="1:79">
      <c r="A69" s="23">
        <f>SUBTOTAL(3,C$8:C69)</f>
        <v>44</v>
      </c>
      <c r="B69" s="88" t="s">
        <v>1304</v>
      </c>
      <c r="C69" s="35" t="s">
        <v>810</v>
      </c>
      <c r="D69" s="34" t="s">
        <v>1305</v>
      </c>
      <c r="E69" s="35" t="s">
        <v>827</v>
      </c>
      <c r="F69" s="36">
        <v>2855</v>
      </c>
      <c r="G69" s="36">
        <v>1241</v>
      </c>
      <c r="H69" s="81" t="s">
        <v>131</v>
      </c>
      <c r="I69" s="37">
        <v>200</v>
      </c>
      <c r="J69" s="37">
        <v>400</v>
      </c>
      <c r="K69" s="37">
        <v>600</v>
      </c>
      <c r="L69" s="36">
        <v>1614</v>
      </c>
      <c r="M69" s="36"/>
      <c r="N69" s="36"/>
      <c r="O69" s="36"/>
      <c r="P69" s="244" t="s">
        <v>2649</v>
      </c>
      <c r="Q69" s="112"/>
      <c r="R69" s="132">
        <v>195</v>
      </c>
      <c r="S69" s="132">
        <v>100</v>
      </c>
      <c r="T69" s="132">
        <v>95</v>
      </c>
      <c r="U69" s="132"/>
      <c r="V69" s="132"/>
      <c r="W69" s="132"/>
      <c r="X69" s="132"/>
      <c r="Y69" s="132"/>
      <c r="Z69" s="132"/>
      <c r="AA69" s="132"/>
      <c r="AB69" s="132"/>
      <c r="AC69" s="132"/>
      <c r="AD69" s="132">
        <v>1000</v>
      </c>
      <c r="AE69" s="132"/>
      <c r="AF69" s="132"/>
      <c r="AG69" s="132"/>
      <c r="AH69" s="132">
        <v>1000</v>
      </c>
      <c r="AI69" s="90"/>
      <c r="AJ69" s="112" t="s">
        <v>1306</v>
      </c>
      <c r="AK69" s="34" t="s">
        <v>1040</v>
      </c>
      <c r="AL69" s="35" t="s">
        <v>2027</v>
      </c>
      <c r="AM69" s="35" t="s">
        <v>498</v>
      </c>
      <c r="AN69" s="91"/>
      <c r="AO69" s="162"/>
      <c r="AP69" s="157"/>
      <c r="AQ69" s="158" t="s">
        <v>2020</v>
      </c>
      <c r="AR69" s="158" t="s">
        <v>2017</v>
      </c>
      <c r="AS69" s="158" t="str">
        <f t="shared" si="136"/>
        <v>城市基础设施路网工程</v>
      </c>
      <c r="AT69" s="158" t="s">
        <v>2021</v>
      </c>
      <c r="AU69" s="158"/>
      <c r="AV69" s="161"/>
      <c r="AW69" s="161"/>
      <c r="AX69" s="160"/>
      <c r="AY69" s="157"/>
      <c r="AZ69" s="157"/>
      <c r="BA69" s="157"/>
      <c r="BB69" s="157"/>
      <c r="BC69" s="157"/>
      <c r="BD69" s="157"/>
      <c r="BE69" s="157"/>
      <c r="BF69" s="157"/>
      <c r="BG69" s="7" t="s">
        <v>205</v>
      </c>
      <c r="BH69" s="7" t="s">
        <v>1980</v>
      </c>
      <c r="BI69" s="204" t="str">
        <f t="shared" si="137"/>
        <v>政府市滨海新城管委</v>
      </c>
      <c r="BJ69" s="204" t="str">
        <f t="shared" si="138"/>
        <v>基础设施市滨海新城管委</v>
      </c>
      <c r="BK69" s="205">
        <f t="shared" si="139"/>
        <v>0</v>
      </c>
      <c r="BL69" s="157" t="str">
        <f t="shared" si="140"/>
        <v>城市基础设施路网工程1000</v>
      </c>
      <c r="BM69" s="157" t="str">
        <f t="shared" si="141"/>
        <v/>
      </c>
      <c r="BN69" s="157" t="str">
        <f t="shared" si="142"/>
        <v/>
      </c>
      <c r="BO69" s="157">
        <f t="shared" si="143"/>
        <v>1</v>
      </c>
      <c r="BP69" s="157">
        <f t="shared" si="144"/>
        <v>0</v>
      </c>
      <c r="BQ69" s="157">
        <f t="shared" si="145"/>
        <v>0</v>
      </c>
      <c r="BR69" s="157">
        <f t="shared" si="146"/>
        <v>0</v>
      </c>
      <c r="BS69" s="157">
        <f t="shared" si="147"/>
        <v>1</v>
      </c>
      <c r="BT69" s="181"/>
      <c r="BU69" s="206"/>
      <c r="BW69" s="7"/>
      <c r="BX69" s="7"/>
      <c r="BY69" s="7"/>
      <c r="BZ69" s="7"/>
      <c r="CA69" s="7"/>
    </row>
    <row r="70" s="199" customFormat="1" ht="87.75" customHeight="1" spans="1:77">
      <c r="A70" s="23">
        <f>SUBTOTAL(3,C$8:C70)</f>
        <v>45</v>
      </c>
      <c r="B70" s="628" t="s">
        <v>1380</v>
      </c>
      <c r="C70" s="35" t="s">
        <v>810</v>
      </c>
      <c r="D70" s="629" t="s">
        <v>1381</v>
      </c>
      <c r="E70" s="23" t="s">
        <v>827</v>
      </c>
      <c r="F70" s="67">
        <v>7000</v>
      </c>
      <c r="G70" s="67">
        <v>6500</v>
      </c>
      <c r="H70" s="81" t="s">
        <v>244</v>
      </c>
      <c r="I70" s="37">
        <v>500</v>
      </c>
      <c r="J70" s="37">
        <v>500</v>
      </c>
      <c r="K70" s="37">
        <v>500</v>
      </c>
      <c r="L70" s="38">
        <v>500</v>
      </c>
      <c r="M70" s="23"/>
      <c r="N70" s="36"/>
      <c r="O70" s="36"/>
      <c r="P70" s="244"/>
      <c r="Q70" s="112"/>
      <c r="R70" s="132"/>
      <c r="S70" s="132"/>
      <c r="T70" s="132"/>
      <c r="U70" s="132"/>
      <c r="V70" s="132"/>
      <c r="W70" s="132"/>
      <c r="X70" s="132"/>
      <c r="Y70" s="132"/>
      <c r="Z70" s="132"/>
      <c r="AA70" s="132"/>
      <c r="AB70" s="132"/>
      <c r="AC70" s="132"/>
      <c r="AD70" s="132"/>
      <c r="AE70" s="132"/>
      <c r="AF70" s="132"/>
      <c r="AG70" s="132"/>
      <c r="AH70" s="132"/>
      <c r="AI70" s="90"/>
      <c r="AJ70" s="66" t="s">
        <v>117</v>
      </c>
      <c r="AK70" s="123" t="s">
        <v>1382</v>
      </c>
      <c r="AL70" s="35" t="s">
        <v>2058</v>
      </c>
      <c r="AM70" s="35" t="s">
        <v>375</v>
      </c>
      <c r="AN70" s="91"/>
      <c r="AO70" s="76"/>
      <c r="AP70" s="35"/>
      <c r="AQ70" s="92" t="s">
        <v>2020</v>
      </c>
      <c r="AR70" s="92" t="s">
        <v>2017</v>
      </c>
      <c r="AS70" s="92" t="str">
        <f t="shared" si="136"/>
        <v>城市基础设施路网工程</v>
      </c>
      <c r="AT70" s="92" t="s">
        <v>2021</v>
      </c>
      <c r="AU70" s="92"/>
      <c r="AV70" s="37"/>
      <c r="AW70" s="37"/>
      <c r="AX70" s="67"/>
      <c r="AY70" s="35"/>
      <c r="AZ70" s="35"/>
      <c r="BA70" s="35"/>
      <c r="BB70" s="35"/>
      <c r="BC70" s="35"/>
      <c r="BD70" s="35"/>
      <c r="BE70" s="35"/>
      <c r="BF70" s="35"/>
      <c r="BG70" s="199" t="s">
        <v>205</v>
      </c>
      <c r="BH70" s="199" t="s">
        <v>1980</v>
      </c>
      <c r="BI70" s="197" t="str">
        <f t="shared" si="137"/>
        <v>政府钦北区人民政府</v>
      </c>
      <c r="BJ70" s="197" t="str">
        <f t="shared" si="138"/>
        <v>基础设施钦北区人民政府</v>
      </c>
      <c r="BK70" s="200">
        <f t="shared" si="139"/>
        <v>0</v>
      </c>
      <c r="BL70" s="35" t="str">
        <f t="shared" si="140"/>
        <v/>
      </c>
      <c r="BM70" s="35" t="str">
        <f t="shared" si="141"/>
        <v/>
      </c>
      <c r="BN70" s="35" t="str">
        <f t="shared" si="142"/>
        <v/>
      </c>
      <c r="BO70" s="35">
        <f t="shared" si="143"/>
        <v>0</v>
      </c>
      <c r="BP70" s="35">
        <f t="shared" si="144"/>
        <v>0</v>
      </c>
      <c r="BQ70" s="35">
        <f t="shared" si="145"/>
        <v>0</v>
      </c>
      <c r="BR70" s="35">
        <f t="shared" si="146"/>
        <v>0</v>
      </c>
      <c r="BS70" s="35">
        <f t="shared" si="147"/>
        <v>0</v>
      </c>
      <c r="BT70" s="59"/>
      <c r="BU70" s="217"/>
      <c r="BY70" s="7"/>
    </row>
    <row r="71" s="199" customFormat="1" ht="87.75" customHeight="1" spans="1:77">
      <c r="A71" s="23">
        <f>SUBTOTAL(3,C$8:C71)</f>
        <v>46</v>
      </c>
      <c r="B71" s="55" t="s">
        <v>1342</v>
      </c>
      <c r="C71" s="92" t="s">
        <v>810</v>
      </c>
      <c r="D71" s="34" t="s">
        <v>1343</v>
      </c>
      <c r="E71" s="35" t="s">
        <v>812</v>
      </c>
      <c r="F71" s="35">
        <v>1742</v>
      </c>
      <c r="G71" s="35">
        <v>1200</v>
      </c>
      <c r="H71" s="81" t="s">
        <v>131</v>
      </c>
      <c r="I71" s="37">
        <v>50</v>
      </c>
      <c r="J71" s="37">
        <v>320</v>
      </c>
      <c r="K71" s="37">
        <v>460</v>
      </c>
      <c r="L71" s="23">
        <v>542</v>
      </c>
      <c r="M71" s="23"/>
      <c r="N71" s="36"/>
      <c r="O71" s="36"/>
      <c r="P71" s="244"/>
      <c r="Q71" s="112"/>
      <c r="R71" s="132">
        <v>195</v>
      </c>
      <c r="S71" s="132">
        <v>100</v>
      </c>
      <c r="T71" s="132">
        <v>95</v>
      </c>
      <c r="U71" s="132"/>
      <c r="V71" s="132"/>
      <c r="W71" s="132"/>
      <c r="X71" s="132"/>
      <c r="Y71" s="132"/>
      <c r="Z71" s="132"/>
      <c r="AA71" s="132"/>
      <c r="AB71" s="132"/>
      <c r="AC71" s="132"/>
      <c r="AD71" s="132">
        <v>1000</v>
      </c>
      <c r="AE71" s="132"/>
      <c r="AF71" s="132"/>
      <c r="AG71" s="132"/>
      <c r="AH71" s="132">
        <v>1000</v>
      </c>
      <c r="AI71" s="90"/>
      <c r="AJ71" s="66" t="s">
        <v>117</v>
      </c>
      <c r="AK71" s="34" t="s">
        <v>1321</v>
      </c>
      <c r="AL71" s="36" t="s">
        <v>2033</v>
      </c>
      <c r="AM71" s="646" t="s">
        <v>269</v>
      </c>
      <c r="AN71" s="91" t="s">
        <v>1328</v>
      </c>
      <c r="AO71" s="76"/>
      <c r="AP71" s="35"/>
      <c r="AQ71" s="92" t="s">
        <v>2020</v>
      </c>
      <c r="AR71" s="92" t="s">
        <v>2017</v>
      </c>
      <c r="AS71" s="92" t="str">
        <f t="shared" si="136"/>
        <v>城市基础设施路网工程</v>
      </c>
      <c r="AT71" s="92" t="s">
        <v>2021</v>
      </c>
      <c r="AU71" s="92"/>
      <c r="AV71" s="37"/>
      <c r="AW71" s="37"/>
      <c r="AX71" s="67"/>
      <c r="AY71" s="35"/>
      <c r="AZ71" s="35"/>
      <c r="BA71" s="35"/>
      <c r="BB71" s="35"/>
      <c r="BC71" s="35"/>
      <c r="BD71" s="35"/>
      <c r="BE71" s="35"/>
      <c r="BF71" s="35"/>
      <c r="BG71" s="199" t="s">
        <v>205</v>
      </c>
      <c r="BH71" s="199" t="s">
        <v>1980</v>
      </c>
      <c r="BI71" s="197" t="str">
        <f t="shared" si="137"/>
        <v>政府灵山县人民政府</v>
      </c>
      <c r="BJ71" s="197" t="str">
        <f t="shared" si="138"/>
        <v>基础设施灵山县人民政府</v>
      </c>
      <c r="BK71" s="200">
        <f t="shared" si="139"/>
        <v>0</v>
      </c>
      <c r="BL71" s="35" t="str">
        <f t="shared" si="140"/>
        <v/>
      </c>
      <c r="BM71" s="35" t="str">
        <f t="shared" si="141"/>
        <v/>
      </c>
      <c r="BN71" s="35" t="str">
        <f t="shared" si="142"/>
        <v/>
      </c>
      <c r="BO71" s="35">
        <f t="shared" si="143"/>
        <v>1</v>
      </c>
      <c r="BP71" s="35">
        <f t="shared" si="144"/>
        <v>0</v>
      </c>
      <c r="BQ71" s="35">
        <f t="shared" si="145"/>
        <v>0</v>
      </c>
      <c r="BR71" s="35">
        <f t="shared" si="146"/>
        <v>0</v>
      </c>
      <c r="BS71" s="35">
        <f t="shared" si="147"/>
        <v>1</v>
      </c>
      <c r="BT71" s="59"/>
      <c r="BU71" s="217"/>
      <c r="BY71" s="7"/>
    </row>
    <row r="72" s="9" customFormat="1" ht="30" customHeight="1" spans="1:77">
      <c r="A72" s="551"/>
      <c r="B72" s="557" t="str">
        <f>"供电工程（"&amp;SUBTOTAL(3,C73:C79)&amp;"个）"</f>
        <v>供电工程（7个）</v>
      </c>
      <c r="C72" s="551"/>
      <c r="D72" s="555"/>
      <c r="E72" s="551"/>
      <c r="F72" s="134">
        <f t="shared" ref="F72:M72" si="148">SUBTOTAL(9,F73:F79)</f>
        <v>48648</v>
      </c>
      <c r="G72" s="134">
        <f t="shared" si="148"/>
        <v>28295</v>
      </c>
      <c r="H72" s="134"/>
      <c r="I72" s="134">
        <f t="shared" si="148"/>
        <v>4387</v>
      </c>
      <c r="J72" s="134">
        <f t="shared" si="148"/>
        <v>9315</v>
      </c>
      <c r="K72" s="134">
        <f t="shared" si="148"/>
        <v>12967</v>
      </c>
      <c r="L72" s="134">
        <f t="shared" si="148"/>
        <v>20353</v>
      </c>
      <c r="M72" s="134">
        <f t="shared" si="148"/>
        <v>0</v>
      </c>
      <c r="N72" s="134"/>
      <c r="O72" s="134"/>
      <c r="P72" s="244"/>
      <c r="Q72" s="112"/>
      <c r="R72" s="132"/>
      <c r="S72" s="132"/>
      <c r="T72" s="132"/>
      <c r="U72" s="132"/>
      <c r="V72" s="132"/>
      <c r="W72" s="132"/>
      <c r="X72" s="132"/>
      <c r="Y72" s="132"/>
      <c r="Z72" s="132"/>
      <c r="AA72" s="132"/>
      <c r="AB72" s="132"/>
      <c r="AC72" s="132"/>
      <c r="AD72" s="132"/>
      <c r="AE72" s="132"/>
      <c r="AF72" s="132"/>
      <c r="AG72" s="132"/>
      <c r="AH72" s="132"/>
      <c r="AI72" s="90"/>
      <c r="AJ72" s="112"/>
      <c r="AK72" s="591"/>
      <c r="AL72" s="134"/>
      <c r="AM72" s="134"/>
      <c r="AN72" s="91"/>
      <c r="AO72" s="272"/>
      <c r="AP72" s="165"/>
      <c r="AQ72" s="158"/>
      <c r="AR72" s="158"/>
      <c r="AS72" s="158"/>
      <c r="AT72" s="158"/>
      <c r="AU72" s="158"/>
      <c r="AV72" s="165"/>
      <c r="AW72" s="169"/>
      <c r="AX72" s="165"/>
      <c r="AY72" s="165"/>
      <c r="AZ72" s="165"/>
      <c r="BA72" s="165"/>
      <c r="BB72" s="165"/>
      <c r="BC72" s="169"/>
      <c r="BD72" s="169"/>
      <c r="BE72" s="169"/>
      <c r="BF72" s="165"/>
      <c r="BK72" s="529"/>
      <c r="BL72" s="165"/>
      <c r="BM72" s="165"/>
      <c r="BN72" s="165"/>
      <c r="BO72" s="165"/>
      <c r="BP72" s="165"/>
      <c r="BQ72" s="165"/>
      <c r="BR72" s="165"/>
      <c r="BS72" s="165"/>
      <c r="BT72" s="183"/>
      <c r="BY72" s="7"/>
    </row>
    <row r="73" ht="54.75" customHeight="1" spans="1:79">
      <c r="A73" s="23">
        <f>SUBTOTAL(3,C$8:C73)</f>
        <v>47</v>
      </c>
      <c r="B73" s="60" t="s">
        <v>1622</v>
      </c>
      <c r="C73" s="59" t="s">
        <v>810</v>
      </c>
      <c r="D73" s="58" t="s">
        <v>1623</v>
      </c>
      <c r="E73" s="59" t="s">
        <v>832</v>
      </c>
      <c r="F73" s="59">
        <v>8165</v>
      </c>
      <c r="G73" s="59">
        <v>2005</v>
      </c>
      <c r="H73" s="81" t="s">
        <v>131</v>
      </c>
      <c r="I73" s="37">
        <v>1200</v>
      </c>
      <c r="J73" s="37">
        <v>3200</v>
      </c>
      <c r="K73" s="37">
        <v>4900</v>
      </c>
      <c r="L73" s="59">
        <v>6160</v>
      </c>
      <c r="M73" s="59"/>
      <c r="N73" s="36"/>
      <c r="O73" s="36"/>
      <c r="P73" s="58" t="s">
        <v>2650</v>
      </c>
      <c r="Q73" s="112" t="s">
        <v>117</v>
      </c>
      <c r="R73" s="132"/>
      <c r="S73" s="132"/>
      <c r="T73" s="132"/>
      <c r="U73" s="132"/>
      <c r="V73" s="132"/>
      <c r="W73" s="132"/>
      <c r="X73" s="132"/>
      <c r="Y73" s="132"/>
      <c r="Z73" s="132"/>
      <c r="AA73" s="132"/>
      <c r="AB73" s="132"/>
      <c r="AC73" s="132"/>
      <c r="AD73" s="253">
        <v>6160</v>
      </c>
      <c r="AE73" s="253"/>
      <c r="AF73" s="253"/>
      <c r="AG73" s="253">
        <v>6160</v>
      </c>
      <c r="AH73" s="132"/>
      <c r="AI73" s="90"/>
      <c r="AJ73" s="112" t="s">
        <v>117</v>
      </c>
      <c r="AK73" s="58" t="s">
        <v>1586</v>
      </c>
      <c r="AL73" s="59" t="s">
        <v>2041</v>
      </c>
      <c r="AM73" s="59" t="s">
        <v>1621</v>
      </c>
      <c r="AN73" s="91"/>
      <c r="AO73" s="162"/>
      <c r="AP73" s="157"/>
      <c r="AQ73" s="158" t="s">
        <v>2042</v>
      </c>
      <c r="AR73" s="158" t="s">
        <v>2017</v>
      </c>
      <c r="AS73" s="158" t="str">
        <f t="shared" ref="AS73:AS79" si="149">AR73&amp;AQ73</f>
        <v>城市基础设施供电工程</v>
      </c>
      <c r="AT73" s="158" t="s">
        <v>2018</v>
      </c>
      <c r="AU73" s="158"/>
      <c r="AV73" s="161"/>
      <c r="AW73" s="161"/>
      <c r="AX73" s="160"/>
      <c r="AY73" s="157"/>
      <c r="AZ73" s="157"/>
      <c r="BA73" s="157"/>
      <c r="BB73" s="157"/>
      <c r="BC73" s="157"/>
      <c r="BD73" s="157"/>
      <c r="BE73" s="157"/>
      <c r="BF73" s="157"/>
      <c r="BG73" s="7" t="s">
        <v>92</v>
      </c>
      <c r="BH73" s="7" t="s">
        <v>1980</v>
      </c>
      <c r="BI73" s="204" t="str">
        <f t="shared" ref="BI73:BI79" si="150">BG73&amp;AM73</f>
        <v>企业钦南区、钦北区人民政府</v>
      </c>
      <c r="BJ73" s="204" t="str">
        <f t="shared" ref="BJ73:BJ79" si="151">BH73&amp;AM73</f>
        <v>基础设施钦南区、钦北区人民政府</v>
      </c>
      <c r="BK73" s="205">
        <f t="shared" ref="BK73:BK79" si="152">IF(N73&gt;0,1,0)</f>
        <v>0</v>
      </c>
      <c r="BL73" s="157" t="str">
        <f t="shared" ref="BL73:BL79" si="153">IF(L73&lt;1000,"",AS73&amp;"1000")</f>
        <v>城市基础设施供电工程1000</v>
      </c>
      <c r="BM73" s="157" t="str">
        <f t="shared" ref="BM73:BM79" si="154">IF(L73&lt;2000,"",AS73&amp;"2000")</f>
        <v>城市基础设施供电工程2000</v>
      </c>
      <c r="BN73" s="157" t="str">
        <f t="shared" ref="BN73:BN79" si="155">IF(L73&lt;5000,"",AS73&amp;"5000")</f>
        <v>城市基础设施供电工程5000</v>
      </c>
      <c r="BO73" s="157">
        <f t="shared" ref="BO73:BO79" si="156">IF(R73&gt;0,1,0)</f>
        <v>0</v>
      </c>
      <c r="BP73" s="157">
        <f t="shared" ref="BP73:BP79" si="157">IF(X73&gt;0,1,0)</f>
        <v>0</v>
      </c>
      <c r="BQ73" s="157">
        <f t="shared" ref="BQ73:BQ79" si="158">IF(U73&gt;0,1,0)</f>
        <v>0</v>
      </c>
      <c r="BR73" s="157">
        <f t="shared" ref="BR73:BR79" si="159">IF(AA73&gt;0,1,0)</f>
        <v>0</v>
      </c>
      <c r="BS73" s="157">
        <f t="shared" ref="BS73:BS79" si="160">IF(AD73&gt;0,1,0)</f>
        <v>1</v>
      </c>
      <c r="BT73" s="181"/>
      <c r="BU73" s="206"/>
      <c r="BW73" s="7"/>
      <c r="BX73" s="7"/>
      <c r="BY73" s="7"/>
      <c r="BZ73" s="7"/>
      <c r="CA73" s="7"/>
    </row>
    <row r="74" ht="86.25" customHeight="1" spans="1:79">
      <c r="A74" s="23">
        <f>SUBTOTAL(3,C$8:C74)</f>
        <v>48</v>
      </c>
      <c r="B74" s="60" t="s">
        <v>1635</v>
      </c>
      <c r="C74" s="59" t="s">
        <v>810</v>
      </c>
      <c r="D74" s="58" t="s">
        <v>1636</v>
      </c>
      <c r="E74" s="59" t="s">
        <v>1606</v>
      </c>
      <c r="F74" s="59">
        <v>7212</v>
      </c>
      <c r="G74" s="59">
        <v>6110</v>
      </c>
      <c r="H74" s="81" t="s">
        <v>131</v>
      </c>
      <c r="I74" s="37"/>
      <c r="J74" s="37"/>
      <c r="K74" s="37"/>
      <c r="L74" s="59">
        <v>1102</v>
      </c>
      <c r="M74" s="59"/>
      <c r="N74" s="36"/>
      <c r="O74" s="36"/>
      <c r="P74" s="58" t="s">
        <v>2651</v>
      </c>
      <c r="Q74" s="58" t="s">
        <v>2652</v>
      </c>
      <c r="R74" s="251">
        <v>2.56</v>
      </c>
      <c r="S74" s="251"/>
      <c r="T74" s="251">
        <v>2.56</v>
      </c>
      <c r="U74" s="251"/>
      <c r="V74" s="251"/>
      <c r="W74" s="251"/>
      <c r="X74" s="251"/>
      <c r="Y74" s="251"/>
      <c r="Z74" s="251"/>
      <c r="AA74" s="251">
        <v>2.56</v>
      </c>
      <c r="AB74" s="251">
        <v>2.56</v>
      </c>
      <c r="AC74" s="251"/>
      <c r="AD74" s="253">
        <v>1102</v>
      </c>
      <c r="AE74" s="253"/>
      <c r="AF74" s="253"/>
      <c r="AG74" s="253">
        <v>1102</v>
      </c>
      <c r="AH74" s="251"/>
      <c r="AI74" s="90"/>
      <c r="AJ74" s="58" t="s">
        <v>1637</v>
      </c>
      <c r="AK74" s="58" t="s">
        <v>1586</v>
      </c>
      <c r="AL74" s="59" t="s">
        <v>2386</v>
      </c>
      <c r="AM74" s="59" t="s">
        <v>359</v>
      </c>
      <c r="AN74" s="91"/>
      <c r="AO74" s="162"/>
      <c r="AP74" s="157"/>
      <c r="AQ74" s="158" t="s">
        <v>2042</v>
      </c>
      <c r="AR74" s="158" t="s">
        <v>2017</v>
      </c>
      <c r="AS74" s="158" t="str">
        <f t="shared" si="149"/>
        <v>城市基础设施供电工程</v>
      </c>
      <c r="AT74" s="158" t="s">
        <v>2018</v>
      </c>
      <c r="AU74" s="158"/>
      <c r="AV74" s="161"/>
      <c r="AW74" s="161"/>
      <c r="AX74" s="160"/>
      <c r="AY74" s="157"/>
      <c r="AZ74" s="157"/>
      <c r="BA74" s="157"/>
      <c r="BB74" s="157"/>
      <c r="BC74" s="157"/>
      <c r="BD74" s="157"/>
      <c r="BE74" s="157"/>
      <c r="BF74" s="157"/>
      <c r="BG74" s="7" t="s">
        <v>92</v>
      </c>
      <c r="BH74" s="7" t="s">
        <v>1980</v>
      </c>
      <c r="BI74" s="204" t="str">
        <f t="shared" si="150"/>
        <v>企业钦南区人民政府</v>
      </c>
      <c r="BJ74" s="204" t="str">
        <f t="shared" si="151"/>
        <v>基础设施钦南区人民政府</v>
      </c>
      <c r="BK74" s="205">
        <f t="shared" si="152"/>
        <v>0</v>
      </c>
      <c r="BL74" s="157" t="str">
        <f t="shared" si="153"/>
        <v>城市基础设施供电工程1000</v>
      </c>
      <c r="BM74" s="157" t="str">
        <f t="shared" si="154"/>
        <v/>
      </c>
      <c r="BN74" s="157" t="str">
        <f t="shared" si="155"/>
        <v/>
      </c>
      <c r="BO74" s="157">
        <f t="shared" si="156"/>
        <v>1</v>
      </c>
      <c r="BP74" s="157">
        <f t="shared" si="157"/>
        <v>0</v>
      </c>
      <c r="BQ74" s="157">
        <f t="shared" si="158"/>
        <v>0</v>
      </c>
      <c r="BR74" s="157">
        <f t="shared" si="159"/>
        <v>1</v>
      </c>
      <c r="BS74" s="157">
        <f t="shared" si="160"/>
        <v>1</v>
      </c>
      <c r="BT74" s="181"/>
      <c r="BU74" s="206"/>
      <c r="BW74" s="7"/>
      <c r="BX74" s="7"/>
      <c r="BY74" s="7"/>
      <c r="BZ74" s="7"/>
      <c r="CA74" s="7"/>
    </row>
    <row r="75" ht="61.5" customHeight="1" spans="1:79">
      <c r="A75" s="23">
        <f>SUBTOTAL(3,C$8:C75)</f>
        <v>49</v>
      </c>
      <c r="B75" s="60" t="s">
        <v>1638</v>
      </c>
      <c r="C75" s="59" t="s">
        <v>810</v>
      </c>
      <c r="D75" s="58" t="s">
        <v>1639</v>
      </c>
      <c r="E75" s="59" t="s">
        <v>1606</v>
      </c>
      <c r="F75" s="59">
        <v>6796</v>
      </c>
      <c r="G75" s="59">
        <v>6200</v>
      </c>
      <c r="H75" s="81" t="s">
        <v>113</v>
      </c>
      <c r="I75" s="37">
        <v>596</v>
      </c>
      <c r="J75" s="37">
        <v>596</v>
      </c>
      <c r="K75" s="37">
        <v>596</v>
      </c>
      <c r="L75" s="59">
        <v>596</v>
      </c>
      <c r="M75" s="59"/>
      <c r="N75" s="36"/>
      <c r="O75" s="36"/>
      <c r="P75" s="58" t="s">
        <v>2653</v>
      </c>
      <c r="Q75" s="58" t="s">
        <v>2654</v>
      </c>
      <c r="R75" s="251"/>
      <c r="S75" s="251"/>
      <c r="T75" s="251"/>
      <c r="U75" s="251"/>
      <c r="V75" s="251"/>
      <c r="W75" s="251"/>
      <c r="X75" s="251"/>
      <c r="Y75" s="251"/>
      <c r="Z75" s="251"/>
      <c r="AA75" s="251"/>
      <c r="AB75" s="251"/>
      <c r="AC75" s="251"/>
      <c r="AD75" s="253"/>
      <c r="AE75" s="253"/>
      <c r="AF75" s="253"/>
      <c r="AG75" s="253"/>
      <c r="AH75" s="251"/>
      <c r="AI75" s="90"/>
      <c r="AJ75" s="58" t="s">
        <v>1640</v>
      </c>
      <c r="AK75" s="58" t="s">
        <v>1586</v>
      </c>
      <c r="AL75" s="59" t="s">
        <v>2089</v>
      </c>
      <c r="AM75" s="59" t="s">
        <v>359</v>
      </c>
      <c r="AN75" s="91"/>
      <c r="AO75" s="162"/>
      <c r="AP75" s="157"/>
      <c r="AQ75" s="158" t="s">
        <v>2042</v>
      </c>
      <c r="AR75" s="158" t="s">
        <v>2017</v>
      </c>
      <c r="AS75" s="158" t="str">
        <f t="shared" si="149"/>
        <v>城市基础设施供电工程</v>
      </c>
      <c r="AT75" s="158" t="s">
        <v>2018</v>
      </c>
      <c r="AU75" s="158"/>
      <c r="AV75" s="161"/>
      <c r="AW75" s="161"/>
      <c r="AX75" s="160"/>
      <c r="AY75" s="157"/>
      <c r="AZ75" s="157"/>
      <c r="BA75" s="157"/>
      <c r="BB75" s="157"/>
      <c r="BC75" s="157"/>
      <c r="BD75" s="157"/>
      <c r="BE75" s="157"/>
      <c r="BF75" s="157"/>
      <c r="BG75" s="7" t="s">
        <v>92</v>
      </c>
      <c r="BH75" s="7" t="s">
        <v>1980</v>
      </c>
      <c r="BI75" s="204" t="str">
        <f t="shared" si="150"/>
        <v>企业钦南区人民政府</v>
      </c>
      <c r="BJ75" s="204" t="str">
        <f t="shared" si="151"/>
        <v>基础设施钦南区人民政府</v>
      </c>
      <c r="BK75" s="205">
        <f t="shared" si="152"/>
        <v>0</v>
      </c>
      <c r="BL75" s="157" t="str">
        <f t="shared" si="153"/>
        <v/>
      </c>
      <c r="BM75" s="157" t="str">
        <f t="shared" si="154"/>
        <v/>
      </c>
      <c r="BN75" s="157" t="str">
        <f t="shared" si="155"/>
        <v/>
      </c>
      <c r="BO75" s="157">
        <f t="shared" si="156"/>
        <v>0</v>
      </c>
      <c r="BP75" s="157">
        <f t="shared" si="157"/>
        <v>0</v>
      </c>
      <c r="BQ75" s="157">
        <f t="shared" si="158"/>
        <v>0</v>
      </c>
      <c r="BR75" s="157">
        <f t="shared" si="159"/>
        <v>0</v>
      </c>
      <c r="BS75" s="157">
        <f t="shared" si="160"/>
        <v>0</v>
      </c>
      <c r="BT75" s="181"/>
      <c r="BU75" s="206"/>
      <c r="BW75" s="7"/>
      <c r="BX75" s="7"/>
      <c r="BY75" s="7"/>
      <c r="BZ75" s="7"/>
      <c r="CA75" s="7"/>
    </row>
    <row r="76" ht="61.5" customHeight="1" spans="1:79">
      <c r="A76" s="23">
        <f>SUBTOTAL(3,C$8:C76)</f>
        <v>50</v>
      </c>
      <c r="B76" s="630" t="s">
        <v>1644</v>
      </c>
      <c r="C76" s="59" t="s">
        <v>810</v>
      </c>
      <c r="D76" s="58" t="s">
        <v>1645</v>
      </c>
      <c r="E76" s="35" t="s">
        <v>812</v>
      </c>
      <c r="F76" s="631">
        <v>2099</v>
      </c>
      <c r="G76" s="631">
        <v>1460</v>
      </c>
      <c r="H76" s="81" t="s">
        <v>131</v>
      </c>
      <c r="I76" s="37">
        <v>639</v>
      </c>
      <c r="J76" s="37">
        <v>639</v>
      </c>
      <c r="K76" s="37">
        <v>639</v>
      </c>
      <c r="L76" s="637">
        <v>639</v>
      </c>
      <c r="M76" s="637"/>
      <c r="N76" s="36"/>
      <c r="O76" s="36"/>
      <c r="P76" s="58" t="s">
        <v>2655</v>
      </c>
      <c r="Q76" s="58" t="s">
        <v>2654</v>
      </c>
      <c r="R76" s="251"/>
      <c r="S76" s="251"/>
      <c r="T76" s="251"/>
      <c r="U76" s="251"/>
      <c r="V76" s="251"/>
      <c r="W76" s="251"/>
      <c r="X76" s="251"/>
      <c r="Y76" s="251"/>
      <c r="Z76" s="251"/>
      <c r="AA76" s="251"/>
      <c r="AB76" s="251"/>
      <c r="AC76" s="251"/>
      <c r="AD76" s="253"/>
      <c r="AE76" s="253"/>
      <c r="AF76" s="253"/>
      <c r="AG76" s="253"/>
      <c r="AH76" s="251"/>
      <c r="AI76" s="90"/>
      <c r="AJ76" s="58" t="s">
        <v>1646</v>
      </c>
      <c r="AK76" s="58" t="s">
        <v>1586</v>
      </c>
      <c r="AL76" s="59" t="s">
        <v>2446</v>
      </c>
      <c r="AM76" s="59" t="s">
        <v>375</v>
      </c>
      <c r="AN76" s="91"/>
      <c r="AO76" s="162"/>
      <c r="AP76" s="157"/>
      <c r="AQ76" s="158" t="s">
        <v>2042</v>
      </c>
      <c r="AR76" s="158" t="s">
        <v>2017</v>
      </c>
      <c r="AS76" s="158" t="str">
        <f t="shared" si="149"/>
        <v>城市基础设施供电工程</v>
      </c>
      <c r="AT76" s="158" t="s">
        <v>2018</v>
      </c>
      <c r="AU76" s="158"/>
      <c r="AV76" s="161"/>
      <c r="AW76" s="161"/>
      <c r="AX76" s="160"/>
      <c r="AY76" s="157"/>
      <c r="AZ76" s="157"/>
      <c r="BA76" s="157"/>
      <c r="BB76" s="157"/>
      <c r="BC76" s="157"/>
      <c r="BD76" s="157"/>
      <c r="BE76" s="157"/>
      <c r="BF76" s="157"/>
      <c r="BG76" s="7" t="s">
        <v>92</v>
      </c>
      <c r="BH76" s="7" t="s">
        <v>1980</v>
      </c>
      <c r="BI76" s="204" t="str">
        <f t="shared" si="150"/>
        <v>企业钦北区人民政府</v>
      </c>
      <c r="BJ76" s="204" t="str">
        <f t="shared" si="151"/>
        <v>基础设施钦北区人民政府</v>
      </c>
      <c r="BK76" s="205">
        <f t="shared" si="152"/>
        <v>0</v>
      </c>
      <c r="BL76" s="157" t="str">
        <f t="shared" si="153"/>
        <v/>
      </c>
      <c r="BM76" s="157" t="str">
        <f t="shared" si="154"/>
        <v/>
      </c>
      <c r="BN76" s="157" t="str">
        <f t="shared" si="155"/>
        <v/>
      </c>
      <c r="BO76" s="157">
        <f t="shared" si="156"/>
        <v>0</v>
      </c>
      <c r="BP76" s="157">
        <f t="shared" si="157"/>
        <v>0</v>
      </c>
      <c r="BQ76" s="157">
        <f t="shared" si="158"/>
        <v>0</v>
      </c>
      <c r="BR76" s="157">
        <f t="shared" si="159"/>
        <v>0</v>
      </c>
      <c r="BS76" s="157">
        <f t="shared" si="160"/>
        <v>0</v>
      </c>
      <c r="BT76" s="181"/>
      <c r="BU76" s="206"/>
      <c r="BW76" s="7"/>
      <c r="BX76" s="7"/>
      <c r="BY76" s="7"/>
      <c r="BZ76" s="7"/>
      <c r="CA76" s="7"/>
    </row>
    <row r="77" ht="70.5" customHeight="1" spans="1:79">
      <c r="A77" s="23">
        <f>SUBTOTAL(3,C$8:C77)</f>
        <v>51</v>
      </c>
      <c r="B77" s="60" t="s">
        <v>1602</v>
      </c>
      <c r="C77" s="59" t="s">
        <v>810</v>
      </c>
      <c r="D77" s="58" t="s">
        <v>1603</v>
      </c>
      <c r="E77" s="59" t="s">
        <v>832</v>
      </c>
      <c r="F77" s="59">
        <v>8600</v>
      </c>
      <c r="G77" s="59">
        <v>1720</v>
      </c>
      <c r="H77" s="81" t="s">
        <v>131</v>
      </c>
      <c r="I77" s="37">
        <v>1376</v>
      </c>
      <c r="J77" s="37">
        <v>3440</v>
      </c>
      <c r="K77" s="37">
        <v>4816</v>
      </c>
      <c r="L77" s="59">
        <v>6880</v>
      </c>
      <c r="M77" s="59"/>
      <c r="N77" s="36"/>
      <c r="O77" s="36"/>
      <c r="P77" s="58" t="s">
        <v>2656</v>
      </c>
      <c r="Q77" s="112" t="s">
        <v>2044</v>
      </c>
      <c r="R77" s="132"/>
      <c r="S77" s="132"/>
      <c r="T77" s="132"/>
      <c r="U77" s="132"/>
      <c r="V77" s="132"/>
      <c r="W77" s="132"/>
      <c r="X77" s="132"/>
      <c r="Y77" s="132"/>
      <c r="Z77" s="132"/>
      <c r="AA77" s="132"/>
      <c r="AB77" s="132"/>
      <c r="AC77" s="132"/>
      <c r="AD77" s="132"/>
      <c r="AE77" s="132"/>
      <c r="AF77" s="132"/>
      <c r="AG77" s="132"/>
      <c r="AH77" s="132"/>
      <c r="AI77" s="90"/>
      <c r="AJ77" s="112" t="s">
        <v>1601</v>
      </c>
      <c r="AK77" s="58" t="s">
        <v>1586</v>
      </c>
      <c r="AL77" s="59" t="s">
        <v>2046</v>
      </c>
      <c r="AM77" s="59" t="s">
        <v>269</v>
      </c>
      <c r="AN77" s="91"/>
      <c r="AO77" s="162"/>
      <c r="AP77" s="157"/>
      <c r="AQ77" s="158" t="s">
        <v>2042</v>
      </c>
      <c r="AR77" s="158" t="s">
        <v>2017</v>
      </c>
      <c r="AS77" s="158" t="str">
        <f t="shared" si="149"/>
        <v>城市基础设施供电工程</v>
      </c>
      <c r="AT77" s="158" t="s">
        <v>2018</v>
      </c>
      <c r="AU77" s="158"/>
      <c r="AV77" s="161"/>
      <c r="AW77" s="161"/>
      <c r="AX77" s="160"/>
      <c r="AY77" s="157"/>
      <c r="AZ77" s="157"/>
      <c r="BA77" s="157"/>
      <c r="BB77" s="157"/>
      <c r="BC77" s="157"/>
      <c r="BD77" s="157"/>
      <c r="BE77" s="157"/>
      <c r="BF77" s="157"/>
      <c r="BG77" s="7" t="s">
        <v>92</v>
      </c>
      <c r="BH77" s="7" t="s">
        <v>1980</v>
      </c>
      <c r="BI77" s="204" t="str">
        <f t="shared" si="150"/>
        <v>企业灵山县人民政府</v>
      </c>
      <c r="BJ77" s="204" t="str">
        <f t="shared" si="151"/>
        <v>基础设施灵山县人民政府</v>
      </c>
      <c r="BK77" s="205">
        <f t="shared" si="152"/>
        <v>0</v>
      </c>
      <c r="BL77" s="157" t="str">
        <f t="shared" si="153"/>
        <v>城市基础设施供电工程1000</v>
      </c>
      <c r="BM77" s="157" t="str">
        <f t="shared" si="154"/>
        <v>城市基础设施供电工程2000</v>
      </c>
      <c r="BN77" s="157" t="str">
        <f t="shared" si="155"/>
        <v>城市基础设施供电工程5000</v>
      </c>
      <c r="BO77" s="157">
        <f t="shared" si="156"/>
        <v>0</v>
      </c>
      <c r="BP77" s="157">
        <f t="shared" si="157"/>
        <v>0</v>
      </c>
      <c r="BQ77" s="157">
        <f t="shared" si="158"/>
        <v>0</v>
      </c>
      <c r="BR77" s="157">
        <f t="shared" si="159"/>
        <v>0</v>
      </c>
      <c r="BS77" s="157">
        <f t="shared" si="160"/>
        <v>0</v>
      </c>
      <c r="BT77" s="181"/>
      <c r="BU77" s="206"/>
      <c r="BW77" s="7"/>
      <c r="BX77" s="7"/>
      <c r="BY77" s="7"/>
      <c r="BZ77" s="7"/>
      <c r="CA77" s="7"/>
    </row>
    <row r="78" ht="66.75" customHeight="1" spans="1:79">
      <c r="A78" s="23">
        <f>SUBTOTAL(3,C$8:C78)</f>
        <v>52</v>
      </c>
      <c r="B78" s="60" t="s">
        <v>1604</v>
      </c>
      <c r="C78" s="59" t="s">
        <v>810</v>
      </c>
      <c r="D78" s="58" t="s">
        <v>1605</v>
      </c>
      <c r="E78" s="59" t="s">
        <v>1606</v>
      </c>
      <c r="F78" s="59">
        <v>6096</v>
      </c>
      <c r="G78" s="59">
        <v>4000</v>
      </c>
      <c r="H78" s="81" t="s">
        <v>131</v>
      </c>
      <c r="I78" s="81"/>
      <c r="J78" s="81"/>
      <c r="K78" s="81"/>
      <c r="L78" s="59">
        <v>2096</v>
      </c>
      <c r="M78" s="59"/>
      <c r="N78" s="36"/>
      <c r="O78" s="36"/>
      <c r="P78" s="58" t="s">
        <v>2657</v>
      </c>
      <c r="Q78" s="58" t="s">
        <v>2658</v>
      </c>
      <c r="R78" s="251">
        <v>11.54</v>
      </c>
      <c r="S78" s="251">
        <v>11.54</v>
      </c>
      <c r="T78" s="251"/>
      <c r="U78" s="251"/>
      <c r="V78" s="251"/>
      <c r="W78" s="251"/>
      <c r="X78" s="251"/>
      <c r="Y78" s="251"/>
      <c r="Z78" s="251"/>
      <c r="AA78" s="251">
        <v>11.54</v>
      </c>
      <c r="AB78" s="251">
        <v>11.54</v>
      </c>
      <c r="AC78" s="251"/>
      <c r="AD78" s="251"/>
      <c r="AE78" s="251"/>
      <c r="AF78" s="251"/>
      <c r="AG78" s="251"/>
      <c r="AH78" s="251"/>
      <c r="AI78" s="90"/>
      <c r="AJ78" s="112" t="s">
        <v>1607</v>
      </c>
      <c r="AK78" s="58" t="s">
        <v>1586</v>
      </c>
      <c r="AL78" s="59" t="s">
        <v>2386</v>
      </c>
      <c r="AM78" s="59" t="s">
        <v>269</v>
      </c>
      <c r="AN78" s="91"/>
      <c r="AO78" s="162"/>
      <c r="AP78" s="157"/>
      <c r="AQ78" s="158" t="s">
        <v>2042</v>
      </c>
      <c r="AR78" s="158" t="s">
        <v>2017</v>
      </c>
      <c r="AS78" s="158" t="str">
        <f t="shared" si="149"/>
        <v>城市基础设施供电工程</v>
      </c>
      <c r="AT78" s="158" t="s">
        <v>2018</v>
      </c>
      <c r="AU78" s="158"/>
      <c r="AV78" s="161"/>
      <c r="AW78" s="161"/>
      <c r="AX78" s="160"/>
      <c r="AY78" s="157"/>
      <c r="AZ78" s="157"/>
      <c r="BA78" s="157"/>
      <c r="BB78" s="157"/>
      <c r="BC78" s="157"/>
      <c r="BD78" s="157"/>
      <c r="BE78" s="157"/>
      <c r="BF78" s="157"/>
      <c r="BG78" s="7" t="s">
        <v>92</v>
      </c>
      <c r="BH78" s="7" t="s">
        <v>1980</v>
      </c>
      <c r="BI78" s="204" t="str">
        <f t="shared" si="150"/>
        <v>企业灵山县人民政府</v>
      </c>
      <c r="BJ78" s="204" t="str">
        <f t="shared" si="151"/>
        <v>基础设施灵山县人民政府</v>
      </c>
      <c r="BK78" s="205">
        <f t="shared" si="152"/>
        <v>0</v>
      </c>
      <c r="BL78" s="157" t="str">
        <f t="shared" si="153"/>
        <v>城市基础设施供电工程1000</v>
      </c>
      <c r="BM78" s="157" t="str">
        <f t="shared" si="154"/>
        <v>城市基础设施供电工程2000</v>
      </c>
      <c r="BN78" s="157" t="str">
        <f t="shared" si="155"/>
        <v/>
      </c>
      <c r="BO78" s="157">
        <f t="shared" si="156"/>
        <v>1</v>
      </c>
      <c r="BP78" s="157">
        <f t="shared" si="157"/>
        <v>0</v>
      </c>
      <c r="BQ78" s="157">
        <f t="shared" si="158"/>
        <v>0</v>
      </c>
      <c r="BR78" s="157">
        <f t="shared" si="159"/>
        <v>1</v>
      </c>
      <c r="BS78" s="157">
        <f t="shared" si="160"/>
        <v>0</v>
      </c>
      <c r="BT78" s="181"/>
      <c r="BU78" s="206"/>
      <c r="BW78" s="7"/>
      <c r="BX78" s="7"/>
      <c r="BY78" s="7"/>
      <c r="BZ78" s="7"/>
      <c r="CA78" s="7"/>
    </row>
    <row r="79" ht="75.75" customHeight="1" spans="1:79">
      <c r="A79" s="23">
        <f>SUBTOTAL(3,C$8:C79)</f>
        <v>53</v>
      </c>
      <c r="B79" s="60" t="s">
        <v>1615</v>
      </c>
      <c r="C79" s="59" t="s">
        <v>810</v>
      </c>
      <c r="D79" s="565" t="s">
        <v>1616</v>
      </c>
      <c r="E79" s="35" t="s">
        <v>812</v>
      </c>
      <c r="F79" s="35">
        <v>9680</v>
      </c>
      <c r="G79" s="35">
        <v>6800</v>
      </c>
      <c r="H79" s="81" t="s">
        <v>113</v>
      </c>
      <c r="I79" s="37">
        <v>576</v>
      </c>
      <c r="J79" s="37">
        <v>1440</v>
      </c>
      <c r="K79" s="37">
        <v>2016</v>
      </c>
      <c r="L79" s="35">
        <v>2880</v>
      </c>
      <c r="M79" s="35"/>
      <c r="N79" s="36"/>
      <c r="O79" s="36"/>
      <c r="P79" s="34" t="s">
        <v>2659</v>
      </c>
      <c r="Q79" s="34" t="s">
        <v>117</v>
      </c>
      <c r="R79" s="132"/>
      <c r="S79" s="132"/>
      <c r="T79" s="132"/>
      <c r="U79" s="132"/>
      <c r="V79" s="132"/>
      <c r="W79" s="132"/>
      <c r="X79" s="132"/>
      <c r="Y79" s="132"/>
      <c r="Z79" s="132"/>
      <c r="AA79" s="132"/>
      <c r="AB79" s="132"/>
      <c r="AC79" s="132"/>
      <c r="AD79" s="132"/>
      <c r="AE79" s="132"/>
      <c r="AF79" s="132"/>
      <c r="AG79" s="132"/>
      <c r="AH79" s="132"/>
      <c r="AI79" s="90"/>
      <c r="AJ79" s="34" t="s">
        <v>117</v>
      </c>
      <c r="AK79" s="58" t="s">
        <v>1586</v>
      </c>
      <c r="AL79" s="59" t="s">
        <v>2047</v>
      </c>
      <c r="AM79" s="59" t="s">
        <v>317</v>
      </c>
      <c r="AN79" s="91"/>
      <c r="AO79" s="162"/>
      <c r="AP79" s="157"/>
      <c r="AQ79" s="158" t="s">
        <v>2042</v>
      </c>
      <c r="AR79" s="158" t="s">
        <v>2017</v>
      </c>
      <c r="AS79" s="158" t="str">
        <f t="shared" si="149"/>
        <v>城市基础设施供电工程</v>
      </c>
      <c r="AT79" s="158" t="s">
        <v>2018</v>
      </c>
      <c r="AU79" s="158"/>
      <c r="AV79" s="161"/>
      <c r="AW79" s="161"/>
      <c r="AX79" s="160"/>
      <c r="AY79" s="157"/>
      <c r="AZ79" s="157"/>
      <c r="BA79" s="157"/>
      <c r="BB79" s="157"/>
      <c r="BC79" s="157"/>
      <c r="BD79" s="157"/>
      <c r="BE79" s="157"/>
      <c r="BF79" s="157"/>
      <c r="BG79" s="7" t="s">
        <v>92</v>
      </c>
      <c r="BH79" s="7" t="s">
        <v>1980</v>
      </c>
      <c r="BI79" s="204" t="str">
        <f t="shared" si="150"/>
        <v>企业浦北县人民政府</v>
      </c>
      <c r="BJ79" s="204" t="str">
        <f t="shared" si="151"/>
        <v>基础设施浦北县人民政府</v>
      </c>
      <c r="BK79" s="205">
        <f t="shared" si="152"/>
        <v>0</v>
      </c>
      <c r="BL79" s="157" t="str">
        <f t="shared" si="153"/>
        <v>城市基础设施供电工程1000</v>
      </c>
      <c r="BM79" s="157" t="str">
        <f t="shared" si="154"/>
        <v>城市基础设施供电工程2000</v>
      </c>
      <c r="BN79" s="157" t="str">
        <f t="shared" si="155"/>
        <v/>
      </c>
      <c r="BO79" s="157">
        <f t="shared" si="156"/>
        <v>0</v>
      </c>
      <c r="BP79" s="157">
        <f t="shared" si="157"/>
        <v>0</v>
      </c>
      <c r="BQ79" s="157">
        <f t="shared" si="158"/>
        <v>0</v>
      </c>
      <c r="BR79" s="157">
        <f t="shared" si="159"/>
        <v>0</v>
      </c>
      <c r="BS79" s="157">
        <f t="shared" si="160"/>
        <v>0</v>
      </c>
      <c r="BT79" s="181"/>
      <c r="BU79" s="206"/>
      <c r="BW79" s="7"/>
      <c r="BX79" s="7"/>
      <c r="BY79" s="7"/>
      <c r="BZ79" s="7"/>
      <c r="CA79" s="7"/>
    </row>
    <row r="80" s="9" customFormat="1" ht="30" customHeight="1" spans="1:77">
      <c r="A80" s="551"/>
      <c r="B80" s="557" t="str">
        <f>"其他（"&amp;SUBTOTAL(3,C81:C84)&amp;"个）"</f>
        <v>其他（4个）</v>
      </c>
      <c r="C80" s="551"/>
      <c r="D80" s="555"/>
      <c r="E80" s="551"/>
      <c r="F80" s="134">
        <f t="shared" ref="F80:M80" si="161">SUBTOTAL(9,F81:F84)</f>
        <v>23176</v>
      </c>
      <c r="G80" s="134">
        <f t="shared" si="161"/>
        <v>12810</v>
      </c>
      <c r="H80" s="134"/>
      <c r="I80" s="134">
        <f t="shared" si="161"/>
        <v>3600</v>
      </c>
      <c r="J80" s="134">
        <f t="shared" si="161"/>
        <v>6300</v>
      </c>
      <c r="K80" s="134">
        <f t="shared" si="161"/>
        <v>8500</v>
      </c>
      <c r="L80" s="134">
        <f t="shared" si="161"/>
        <v>10366</v>
      </c>
      <c r="M80" s="134">
        <f t="shared" si="161"/>
        <v>0</v>
      </c>
      <c r="N80" s="134">
        <f>SUBTOTAL(9,N82:N84)</f>
        <v>0</v>
      </c>
      <c r="O80" s="134">
        <f>SUBTOTAL(9,O82:O84)</f>
        <v>0</v>
      </c>
      <c r="P80" s="244"/>
      <c r="Q80" s="112"/>
      <c r="R80" s="132"/>
      <c r="S80" s="132"/>
      <c r="T80" s="132"/>
      <c r="U80" s="132"/>
      <c r="V80" s="132"/>
      <c r="W80" s="132"/>
      <c r="X80" s="132"/>
      <c r="Y80" s="132"/>
      <c r="Z80" s="132"/>
      <c r="AA80" s="132"/>
      <c r="AB80" s="132"/>
      <c r="AC80" s="132"/>
      <c r="AD80" s="132"/>
      <c r="AE80" s="132"/>
      <c r="AF80" s="132"/>
      <c r="AG80" s="132"/>
      <c r="AH80" s="132"/>
      <c r="AI80" s="90"/>
      <c r="AJ80" s="112"/>
      <c r="AK80" s="591"/>
      <c r="AL80" s="134"/>
      <c r="AM80" s="134"/>
      <c r="AN80" s="91"/>
      <c r="AO80" s="272"/>
      <c r="AP80" s="165"/>
      <c r="AQ80" s="158"/>
      <c r="AR80" s="158"/>
      <c r="AS80" s="158"/>
      <c r="AT80" s="158"/>
      <c r="AU80" s="158"/>
      <c r="AV80" s="165"/>
      <c r="AW80" s="169"/>
      <c r="AX80" s="165"/>
      <c r="AY80" s="165"/>
      <c r="AZ80" s="165"/>
      <c r="BA80" s="165"/>
      <c r="BB80" s="165"/>
      <c r="BC80" s="169"/>
      <c r="BD80" s="169"/>
      <c r="BE80" s="169"/>
      <c r="BF80" s="165"/>
      <c r="BK80" s="529"/>
      <c r="BL80" s="165"/>
      <c r="BM80" s="165"/>
      <c r="BN80" s="165"/>
      <c r="BO80" s="165"/>
      <c r="BP80" s="165"/>
      <c r="BQ80" s="165"/>
      <c r="BR80" s="165"/>
      <c r="BS80" s="165"/>
      <c r="BT80" s="183"/>
      <c r="BY80" s="7"/>
    </row>
    <row r="81" ht="61.9" customHeight="1" spans="1:79">
      <c r="A81" s="23">
        <f>SUBTOTAL(3,C$8:C81)</f>
        <v>54</v>
      </c>
      <c r="B81" s="55" t="s">
        <v>1367</v>
      </c>
      <c r="C81" s="35" t="s">
        <v>810</v>
      </c>
      <c r="D81" s="58" t="s">
        <v>1368</v>
      </c>
      <c r="E81" s="35" t="s">
        <v>812</v>
      </c>
      <c r="F81" s="36">
        <v>5000</v>
      </c>
      <c r="G81" s="36">
        <v>1000</v>
      </c>
      <c r="H81" s="81" t="s">
        <v>131</v>
      </c>
      <c r="I81" s="36">
        <v>1000</v>
      </c>
      <c r="J81" s="36">
        <v>2000</v>
      </c>
      <c r="K81" s="36">
        <v>3000</v>
      </c>
      <c r="L81" s="36">
        <v>4000</v>
      </c>
      <c r="M81" s="36"/>
      <c r="N81" s="36"/>
      <c r="O81" s="36"/>
      <c r="P81" s="112" t="s">
        <v>2660</v>
      </c>
      <c r="Q81" s="112" t="s">
        <v>117</v>
      </c>
      <c r="R81" s="132"/>
      <c r="S81" s="132"/>
      <c r="T81" s="132"/>
      <c r="U81" s="132"/>
      <c r="V81" s="132"/>
      <c r="W81" s="132"/>
      <c r="X81" s="132"/>
      <c r="Y81" s="132"/>
      <c r="Z81" s="132"/>
      <c r="AA81" s="132"/>
      <c r="AB81" s="132"/>
      <c r="AC81" s="132"/>
      <c r="AD81" s="132">
        <v>3000</v>
      </c>
      <c r="AE81" s="132"/>
      <c r="AF81" s="132"/>
      <c r="AG81" s="252">
        <v>3000</v>
      </c>
      <c r="AH81" s="132"/>
      <c r="AI81" s="90"/>
      <c r="AJ81" s="112" t="s">
        <v>117</v>
      </c>
      <c r="AK81" s="112" t="s">
        <v>2661</v>
      </c>
      <c r="AL81" s="36" t="s">
        <v>2662</v>
      </c>
      <c r="AM81" s="35" t="s">
        <v>359</v>
      </c>
      <c r="AN81" s="91"/>
      <c r="AO81" s="162"/>
      <c r="AP81" s="157"/>
      <c r="AQ81" s="158" t="s">
        <v>2051</v>
      </c>
      <c r="AR81" s="158" t="s">
        <v>2017</v>
      </c>
      <c r="AS81" s="158" t="str">
        <f t="shared" ref="AS81:AS84" si="162">AR81&amp;AQ81</f>
        <v>城市基础设施其他</v>
      </c>
      <c r="AT81" s="158" t="s">
        <v>2018</v>
      </c>
      <c r="AU81" s="158"/>
      <c r="AV81" s="161"/>
      <c r="AW81" s="161"/>
      <c r="AX81" s="160"/>
      <c r="AY81" s="157"/>
      <c r="AZ81" s="157"/>
      <c r="BA81" s="157"/>
      <c r="BB81" s="157"/>
      <c r="BC81" s="157"/>
      <c r="BD81" s="157"/>
      <c r="BE81" s="157"/>
      <c r="BF81" s="157"/>
      <c r="BG81" s="7" t="s">
        <v>205</v>
      </c>
      <c r="BH81" s="7" t="s">
        <v>1980</v>
      </c>
      <c r="BI81" s="204" t="str">
        <f t="shared" ref="BI81:BI84" si="163">BG81&amp;AM81</f>
        <v>政府钦南区人民政府</v>
      </c>
      <c r="BJ81" s="204" t="str">
        <f t="shared" ref="BJ81:BJ84" si="164">BH81&amp;AM81</f>
        <v>基础设施钦南区人民政府</v>
      </c>
      <c r="BK81" s="205">
        <f t="shared" ref="BK81:BK84" si="165">IF(N81&gt;0,1,0)</f>
        <v>0</v>
      </c>
      <c r="BL81" s="157" t="str">
        <f t="shared" ref="BL81:BL84" si="166">IF(L81&lt;1000,"",AS81&amp;"1000")</f>
        <v>城市基础设施其他1000</v>
      </c>
      <c r="BM81" s="157" t="str">
        <f t="shared" ref="BM81:BM84" si="167">IF(L81&lt;2000,"",AS81&amp;"2000")</f>
        <v>城市基础设施其他2000</v>
      </c>
      <c r="BN81" s="157" t="str">
        <f t="shared" ref="BN81:BN84" si="168">IF(L81&lt;5000,"",AS81&amp;"5000")</f>
        <v/>
      </c>
      <c r="BO81" s="157">
        <f t="shared" ref="BO81:BO84" si="169">IF(R81&gt;0,1,0)</f>
        <v>0</v>
      </c>
      <c r="BP81" s="157">
        <f t="shared" ref="BP81:BP84" si="170">IF(X81&gt;0,1,0)</f>
        <v>0</v>
      </c>
      <c r="BQ81" s="157">
        <f t="shared" ref="BQ81:BQ84" si="171">IF(U81&gt;0,1,0)</f>
        <v>0</v>
      </c>
      <c r="BR81" s="157">
        <f t="shared" ref="BR81:BR84" si="172">IF(AA81&gt;0,1,0)</f>
        <v>0</v>
      </c>
      <c r="BS81" s="157">
        <f t="shared" ref="BS81:BS84" si="173">IF(AD81&gt;0,1,0)</f>
        <v>1</v>
      </c>
      <c r="BT81" s="181"/>
      <c r="BU81" s="206"/>
      <c r="BW81" s="7"/>
      <c r="BX81" s="7"/>
      <c r="BY81" s="7"/>
      <c r="BZ81" s="7"/>
      <c r="CA81" s="7"/>
    </row>
    <row r="82" ht="61.9" customHeight="1" spans="1:79">
      <c r="A82" s="23">
        <f>SUBTOTAL(3,C$8:C82)</f>
        <v>55</v>
      </c>
      <c r="B82" s="55" t="s">
        <v>1344</v>
      </c>
      <c r="C82" s="35" t="s">
        <v>810</v>
      </c>
      <c r="D82" s="55" t="s">
        <v>1345</v>
      </c>
      <c r="E82" s="35" t="s">
        <v>812</v>
      </c>
      <c r="F82" s="35">
        <v>1615</v>
      </c>
      <c r="G82" s="35">
        <v>10</v>
      </c>
      <c r="H82" s="81" t="s">
        <v>131</v>
      </c>
      <c r="I82" s="67">
        <v>100</v>
      </c>
      <c r="J82" s="67">
        <v>600</v>
      </c>
      <c r="K82" s="67">
        <v>1100</v>
      </c>
      <c r="L82" s="35">
        <v>1605</v>
      </c>
      <c r="M82" s="36"/>
      <c r="N82" s="36"/>
      <c r="O82" s="36"/>
      <c r="P82" s="112"/>
      <c r="Q82" s="112"/>
      <c r="R82" s="132"/>
      <c r="S82" s="132"/>
      <c r="T82" s="132"/>
      <c r="U82" s="132"/>
      <c r="V82" s="132"/>
      <c r="W82" s="132"/>
      <c r="X82" s="132"/>
      <c r="Y82" s="132"/>
      <c r="Z82" s="132"/>
      <c r="AA82" s="132"/>
      <c r="AB82" s="132"/>
      <c r="AC82" s="132"/>
      <c r="AD82" s="132"/>
      <c r="AE82" s="132"/>
      <c r="AF82" s="132"/>
      <c r="AG82" s="252"/>
      <c r="AH82" s="132"/>
      <c r="AI82" s="90"/>
      <c r="AJ82" s="262" t="s">
        <v>1170</v>
      </c>
      <c r="AK82" s="34" t="s">
        <v>1311</v>
      </c>
      <c r="AL82" s="35" t="s">
        <v>2663</v>
      </c>
      <c r="AM82" s="35" t="s">
        <v>269</v>
      </c>
      <c r="AN82" s="91"/>
      <c r="AO82" s="162"/>
      <c r="AP82" s="157"/>
      <c r="AQ82" s="158" t="s">
        <v>2051</v>
      </c>
      <c r="AR82" s="158" t="s">
        <v>2017</v>
      </c>
      <c r="AS82" s="158" t="str">
        <f t="shared" si="162"/>
        <v>城市基础设施其他</v>
      </c>
      <c r="AT82" s="158" t="s">
        <v>2018</v>
      </c>
      <c r="AU82" s="158"/>
      <c r="AV82" s="161"/>
      <c r="AW82" s="161"/>
      <c r="AX82" s="160"/>
      <c r="AY82" s="157"/>
      <c r="AZ82" s="157"/>
      <c r="BA82" s="157"/>
      <c r="BB82" s="157"/>
      <c r="BC82" s="157"/>
      <c r="BD82" s="157"/>
      <c r="BE82" s="157"/>
      <c r="BF82" s="157"/>
      <c r="BG82" s="7" t="s">
        <v>205</v>
      </c>
      <c r="BH82" s="7" t="s">
        <v>1980</v>
      </c>
      <c r="BI82" s="204" t="str">
        <f t="shared" si="163"/>
        <v>政府灵山县人民政府</v>
      </c>
      <c r="BJ82" s="204" t="str">
        <f t="shared" si="164"/>
        <v>基础设施灵山县人民政府</v>
      </c>
      <c r="BK82" s="205">
        <f t="shared" si="165"/>
        <v>0</v>
      </c>
      <c r="BL82" s="157" t="str">
        <f t="shared" si="166"/>
        <v>城市基础设施其他1000</v>
      </c>
      <c r="BM82" s="157" t="str">
        <f t="shared" si="167"/>
        <v/>
      </c>
      <c r="BN82" s="157" t="str">
        <f t="shared" si="168"/>
        <v/>
      </c>
      <c r="BO82" s="157">
        <f t="shared" si="169"/>
        <v>0</v>
      </c>
      <c r="BP82" s="157">
        <f t="shared" si="170"/>
        <v>0</v>
      </c>
      <c r="BQ82" s="157">
        <f t="shared" si="171"/>
        <v>0</v>
      </c>
      <c r="BR82" s="157">
        <f t="shared" si="172"/>
        <v>0</v>
      </c>
      <c r="BS82" s="157">
        <f t="shared" si="173"/>
        <v>0</v>
      </c>
      <c r="BT82" s="181"/>
      <c r="BU82" s="206"/>
      <c r="BW82" s="7"/>
      <c r="BX82" s="7"/>
      <c r="BY82" s="7"/>
      <c r="BZ82" s="7"/>
      <c r="CA82" s="7"/>
    </row>
    <row r="83" ht="67.9" customHeight="1" spans="1:77">
      <c r="A83" s="23">
        <f>SUBTOTAL(3,C$8:C83)</f>
        <v>56</v>
      </c>
      <c r="B83" s="55" t="s">
        <v>1361</v>
      </c>
      <c r="C83" s="35" t="s">
        <v>810</v>
      </c>
      <c r="D83" s="632" t="s">
        <v>1362</v>
      </c>
      <c r="E83" s="35" t="s">
        <v>812</v>
      </c>
      <c r="F83" s="35">
        <v>5300</v>
      </c>
      <c r="G83" s="35">
        <v>3800</v>
      </c>
      <c r="H83" s="81" t="s">
        <v>244</v>
      </c>
      <c r="I83" s="37">
        <v>1500</v>
      </c>
      <c r="J83" s="37">
        <v>1500</v>
      </c>
      <c r="K83" s="37">
        <v>1500</v>
      </c>
      <c r="L83" s="35">
        <v>1500</v>
      </c>
      <c r="M83" s="35"/>
      <c r="N83" s="50"/>
      <c r="O83" s="36"/>
      <c r="P83" s="34" t="s">
        <v>2664</v>
      </c>
      <c r="Q83" s="112" t="s">
        <v>117</v>
      </c>
      <c r="R83" s="132"/>
      <c r="S83" s="132"/>
      <c r="T83" s="132"/>
      <c r="U83" s="132"/>
      <c r="V83" s="132"/>
      <c r="W83" s="132"/>
      <c r="X83" s="132"/>
      <c r="Y83" s="132"/>
      <c r="Z83" s="132"/>
      <c r="AA83" s="132"/>
      <c r="AB83" s="132"/>
      <c r="AC83" s="132"/>
      <c r="AD83" s="132"/>
      <c r="AE83" s="132"/>
      <c r="AF83" s="132"/>
      <c r="AG83" s="132"/>
      <c r="AH83" s="132"/>
      <c r="AI83" s="644"/>
      <c r="AJ83" s="34" t="s">
        <v>117</v>
      </c>
      <c r="AK83" s="647" t="s">
        <v>1363</v>
      </c>
      <c r="AL83" s="67" t="s">
        <v>2665</v>
      </c>
      <c r="AM83" s="35" t="s">
        <v>317</v>
      </c>
      <c r="AN83" s="91"/>
      <c r="AO83" s="162"/>
      <c r="AP83" s="157"/>
      <c r="AQ83" s="158" t="s">
        <v>2051</v>
      </c>
      <c r="AR83" s="158" t="s">
        <v>2017</v>
      </c>
      <c r="AS83" s="158" t="str">
        <f t="shared" si="162"/>
        <v>城市基础设施其他</v>
      </c>
      <c r="AT83" s="158" t="s">
        <v>2018</v>
      </c>
      <c r="AU83" s="158"/>
      <c r="AV83" s="161"/>
      <c r="AW83" s="161"/>
      <c r="AX83" s="160"/>
      <c r="AY83" s="157"/>
      <c r="AZ83" s="157"/>
      <c r="BA83" s="157"/>
      <c r="BB83" s="157"/>
      <c r="BC83" s="157"/>
      <c r="BD83" s="157"/>
      <c r="BE83" s="157"/>
      <c r="BF83" s="157"/>
      <c r="BG83" s="7" t="s">
        <v>205</v>
      </c>
      <c r="BH83" s="7" t="s">
        <v>1980</v>
      </c>
      <c r="BI83" s="204" t="str">
        <f t="shared" si="163"/>
        <v>政府浦北县人民政府</v>
      </c>
      <c r="BJ83" s="204" t="str">
        <f t="shared" si="164"/>
        <v>基础设施浦北县人民政府</v>
      </c>
      <c r="BK83" s="205">
        <f t="shared" si="165"/>
        <v>0</v>
      </c>
      <c r="BL83" s="157" t="str">
        <f t="shared" si="166"/>
        <v>城市基础设施其他1000</v>
      </c>
      <c r="BM83" s="157" t="str">
        <f t="shared" si="167"/>
        <v/>
      </c>
      <c r="BN83" s="157" t="str">
        <f t="shared" si="168"/>
        <v/>
      </c>
      <c r="BO83" s="157">
        <f t="shared" si="169"/>
        <v>0</v>
      </c>
      <c r="BP83" s="157">
        <f t="shared" si="170"/>
        <v>0</v>
      </c>
      <c r="BQ83" s="157">
        <f t="shared" si="171"/>
        <v>0</v>
      </c>
      <c r="BR83" s="157">
        <f t="shared" si="172"/>
        <v>0</v>
      </c>
      <c r="BS83" s="157">
        <f t="shared" si="173"/>
        <v>0</v>
      </c>
      <c r="BT83" s="181"/>
      <c r="BU83" s="206"/>
      <c r="BY83" s="7"/>
    </row>
    <row r="84" ht="64.5" customHeight="1" spans="1:77">
      <c r="A84" s="23">
        <f>SUBTOTAL(3,C$8:C84)</f>
        <v>57</v>
      </c>
      <c r="B84" s="55" t="s">
        <v>1682</v>
      </c>
      <c r="C84" s="35" t="s">
        <v>810</v>
      </c>
      <c r="D84" s="565" t="s">
        <v>1683</v>
      </c>
      <c r="E84" s="35" t="s">
        <v>832</v>
      </c>
      <c r="F84" s="35">
        <v>11261</v>
      </c>
      <c r="G84" s="35">
        <v>8000</v>
      </c>
      <c r="H84" s="81" t="s">
        <v>82</v>
      </c>
      <c r="I84" s="37">
        <v>1000</v>
      </c>
      <c r="J84" s="37">
        <v>2200</v>
      </c>
      <c r="K84" s="37">
        <v>2900</v>
      </c>
      <c r="L84" s="35">
        <v>3261</v>
      </c>
      <c r="M84" s="35"/>
      <c r="N84" s="50"/>
      <c r="O84" s="36"/>
      <c r="P84" s="34" t="s">
        <v>2666</v>
      </c>
      <c r="Q84" s="112" t="s">
        <v>117</v>
      </c>
      <c r="R84" s="132"/>
      <c r="S84" s="132"/>
      <c r="T84" s="132"/>
      <c r="U84" s="132"/>
      <c r="V84" s="132"/>
      <c r="W84" s="132"/>
      <c r="X84" s="132"/>
      <c r="Y84" s="132"/>
      <c r="Z84" s="132"/>
      <c r="AA84" s="132"/>
      <c r="AB84" s="132"/>
      <c r="AC84" s="132"/>
      <c r="AD84" s="132"/>
      <c r="AE84" s="132"/>
      <c r="AF84" s="132"/>
      <c r="AG84" s="132"/>
      <c r="AH84" s="132"/>
      <c r="AI84" s="644"/>
      <c r="AJ84" s="34" t="s">
        <v>117</v>
      </c>
      <c r="AK84" s="34" t="s">
        <v>1684</v>
      </c>
      <c r="AL84" s="67" t="s">
        <v>2667</v>
      </c>
      <c r="AM84" s="35" t="s">
        <v>317</v>
      </c>
      <c r="AN84" s="91"/>
      <c r="AO84" s="162"/>
      <c r="AP84" s="157"/>
      <c r="AQ84" s="158" t="s">
        <v>2051</v>
      </c>
      <c r="AR84" s="158" t="s">
        <v>2017</v>
      </c>
      <c r="AS84" s="158" t="str">
        <f t="shared" si="162"/>
        <v>城市基础设施其他</v>
      </c>
      <c r="AT84" s="158" t="s">
        <v>2018</v>
      </c>
      <c r="AU84" s="158"/>
      <c r="AV84" s="161"/>
      <c r="AW84" s="161"/>
      <c r="AX84" s="160"/>
      <c r="AY84" s="157"/>
      <c r="AZ84" s="157"/>
      <c r="BA84" s="157"/>
      <c r="BB84" s="157"/>
      <c r="BC84" s="157"/>
      <c r="BD84" s="157"/>
      <c r="BE84" s="157"/>
      <c r="BF84" s="157"/>
      <c r="BG84" s="7" t="s">
        <v>92</v>
      </c>
      <c r="BH84" s="7" t="s">
        <v>1980</v>
      </c>
      <c r="BI84" s="204" t="str">
        <f t="shared" si="163"/>
        <v>企业浦北县人民政府</v>
      </c>
      <c r="BJ84" s="204" t="str">
        <f t="shared" si="164"/>
        <v>基础设施浦北县人民政府</v>
      </c>
      <c r="BK84" s="205">
        <f t="shared" si="165"/>
        <v>0</v>
      </c>
      <c r="BL84" s="157" t="str">
        <f t="shared" si="166"/>
        <v>城市基础设施其他1000</v>
      </c>
      <c r="BM84" s="157" t="str">
        <f t="shared" si="167"/>
        <v>城市基础设施其他2000</v>
      </c>
      <c r="BN84" s="157" t="str">
        <f t="shared" si="168"/>
        <v/>
      </c>
      <c r="BO84" s="157">
        <f t="shared" si="169"/>
        <v>0</v>
      </c>
      <c r="BP84" s="157">
        <f t="shared" si="170"/>
        <v>0</v>
      </c>
      <c r="BQ84" s="157">
        <f t="shared" si="171"/>
        <v>0</v>
      </c>
      <c r="BR84" s="157">
        <f t="shared" si="172"/>
        <v>0</v>
      </c>
      <c r="BS84" s="157">
        <f t="shared" si="173"/>
        <v>0</v>
      </c>
      <c r="BT84" s="181"/>
      <c r="BU84" s="206"/>
      <c r="BY84" s="7"/>
    </row>
    <row r="85" s="9" customFormat="1" ht="30" customHeight="1" spans="1:77">
      <c r="A85" s="551" t="s">
        <v>2059</v>
      </c>
      <c r="B85" s="557" t="str">
        <f>"园区基础设施（"&amp;SUBTOTAL(3,C86:C105)&amp;"个）"</f>
        <v>园区基础设施（15个）</v>
      </c>
      <c r="C85" s="557"/>
      <c r="D85" s="557"/>
      <c r="E85" s="551"/>
      <c r="F85" s="134">
        <f t="shared" ref="F85:M85" si="174">F86+F88+F98+F100+F102</f>
        <v>347681.086</v>
      </c>
      <c r="G85" s="134">
        <f t="shared" si="174"/>
        <v>275599</v>
      </c>
      <c r="H85" s="134"/>
      <c r="I85" s="134">
        <f t="shared" si="174"/>
        <v>20258</v>
      </c>
      <c r="J85" s="134">
        <f t="shared" si="174"/>
        <v>35698</v>
      </c>
      <c r="K85" s="134">
        <f t="shared" si="174"/>
        <v>56651</v>
      </c>
      <c r="L85" s="134">
        <f t="shared" si="174"/>
        <v>68056.086</v>
      </c>
      <c r="M85" s="134">
        <f t="shared" si="174"/>
        <v>0</v>
      </c>
      <c r="N85" s="67"/>
      <c r="O85" s="67"/>
      <c r="P85" s="244"/>
      <c r="Q85" s="112"/>
      <c r="R85" s="132"/>
      <c r="S85" s="132"/>
      <c r="T85" s="132"/>
      <c r="U85" s="132"/>
      <c r="V85" s="132"/>
      <c r="W85" s="132"/>
      <c r="X85" s="132"/>
      <c r="Y85" s="132"/>
      <c r="Z85" s="132"/>
      <c r="AA85" s="132"/>
      <c r="AB85" s="132"/>
      <c r="AC85" s="132"/>
      <c r="AD85" s="132"/>
      <c r="AE85" s="132"/>
      <c r="AF85" s="132"/>
      <c r="AG85" s="132"/>
      <c r="AH85" s="132"/>
      <c r="AI85" s="90"/>
      <c r="AJ85" s="112"/>
      <c r="AK85" s="591"/>
      <c r="AL85" s="134"/>
      <c r="AM85" s="134"/>
      <c r="AN85" s="91"/>
      <c r="AO85" s="272"/>
      <c r="AP85" s="165"/>
      <c r="AQ85" s="158"/>
      <c r="AR85" s="158"/>
      <c r="AS85" s="158"/>
      <c r="AT85" s="158"/>
      <c r="AU85" s="158"/>
      <c r="AV85" s="165"/>
      <c r="AW85" s="169"/>
      <c r="AX85" s="165"/>
      <c r="AY85" s="165"/>
      <c r="AZ85" s="165"/>
      <c r="BA85" s="165"/>
      <c r="BB85" s="165"/>
      <c r="BC85" s="169"/>
      <c r="BD85" s="169"/>
      <c r="BE85" s="169"/>
      <c r="BF85" s="165"/>
      <c r="BK85" s="529"/>
      <c r="BL85" s="165"/>
      <c r="BM85" s="165"/>
      <c r="BN85" s="165"/>
      <c r="BO85" s="619"/>
      <c r="BP85" s="619"/>
      <c r="BQ85" s="619"/>
      <c r="BR85" s="619"/>
      <c r="BS85" s="619"/>
      <c r="BY85" s="7"/>
    </row>
    <row r="86" s="9" customFormat="1" ht="30" customHeight="1" spans="1:77">
      <c r="A86" s="551"/>
      <c r="B86" s="557" t="str">
        <f>"生态环保（"&amp;SUBTOTAL(3,C87:C87)&amp;"个）"</f>
        <v>生态环保（1个）</v>
      </c>
      <c r="C86" s="551"/>
      <c r="D86" s="555"/>
      <c r="E86" s="551"/>
      <c r="F86" s="134">
        <f t="shared" ref="F86:M86" si="175">SUBTOTAL(9,F87:F87)</f>
        <v>5030</v>
      </c>
      <c r="G86" s="134">
        <f t="shared" si="175"/>
        <v>3000</v>
      </c>
      <c r="H86" s="134"/>
      <c r="I86" s="134">
        <f t="shared" si="175"/>
        <v>300</v>
      </c>
      <c r="J86" s="134">
        <f t="shared" si="175"/>
        <v>730</v>
      </c>
      <c r="K86" s="134">
        <f t="shared" si="175"/>
        <v>1030</v>
      </c>
      <c r="L86" s="134">
        <f t="shared" si="175"/>
        <v>1030</v>
      </c>
      <c r="M86" s="134">
        <f t="shared" si="175"/>
        <v>0</v>
      </c>
      <c r="N86" s="134"/>
      <c r="O86" s="134"/>
      <c r="P86" s="244"/>
      <c r="Q86" s="112"/>
      <c r="R86" s="132"/>
      <c r="S86" s="132"/>
      <c r="T86" s="132"/>
      <c r="U86" s="132"/>
      <c r="V86" s="132"/>
      <c r="W86" s="132"/>
      <c r="X86" s="132"/>
      <c r="Y86" s="132"/>
      <c r="Z86" s="132"/>
      <c r="AA86" s="132"/>
      <c r="AB86" s="132"/>
      <c r="AC86" s="132"/>
      <c r="AD86" s="132"/>
      <c r="AE86" s="132"/>
      <c r="AF86" s="132"/>
      <c r="AG86" s="132"/>
      <c r="AH86" s="132"/>
      <c r="AI86" s="90"/>
      <c r="AJ86" s="112"/>
      <c r="AK86" s="591"/>
      <c r="AL86" s="134"/>
      <c r="AM86" s="134"/>
      <c r="AN86" s="91"/>
      <c r="AO86" s="272"/>
      <c r="AP86" s="165"/>
      <c r="AQ86" s="158"/>
      <c r="AR86" s="158"/>
      <c r="AS86" s="158"/>
      <c r="AT86" s="158"/>
      <c r="AU86" s="158"/>
      <c r="AV86" s="165"/>
      <c r="AW86" s="169"/>
      <c r="AX86" s="165"/>
      <c r="AY86" s="165"/>
      <c r="AZ86" s="165"/>
      <c r="BA86" s="165"/>
      <c r="BB86" s="165"/>
      <c r="BC86" s="169"/>
      <c r="BD86" s="169"/>
      <c r="BE86" s="169"/>
      <c r="BF86" s="165"/>
      <c r="BK86" s="529"/>
      <c r="BL86" s="165"/>
      <c r="BM86" s="165"/>
      <c r="BN86" s="165"/>
      <c r="BO86" s="165"/>
      <c r="BP86" s="165"/>
      <c r="BQ86" s="165"/>
      <c r="BR86" s="165"/>
      <c r="BS86" s="165"/>
      <c r="BT86" s="183"/>
      <c r="BY86" s="7"/>
    </row>
    <row r="87" ht="70.15" customHeight="1" spans="1:77">
      <c r="A87" s="23">
        <f>SUBTOTAL(3,C$8:C87)</f>
        <v>58</v>
      </c>
      <c r="B87" s="55" t="s">
        <v>1504</v>
      </c>
      <c r="C87" s="35" t="s">
        <v>810</v>
      </c>
      <c r="D87" s="34" t="s">
        <v>1505</v>
      </c>
      <c r="E87" s="35" t="s">
        <v>812</v>
      </c>
      <c r="F87" s="36">
        <v>5030</v>
      </c>
      <c r="G87" s="36">
        <v>3000</v>
      </c>
      <c r="H87" s="81" t="s">
        <v>122</v>
      </c>
      <c r="I87" s="37">
        <v>300</v>
      </c>
      <c r="J87" s="37">
        <v>730</v>
      </c>
      <c r="K87" s="37">
        <v>1030</v>
      </c>
      <c r="L87" s="36">
        <v>1030</v>
      </c>
      <c r="M87" s="36"/>
      <c r="N87" s="50"/>
      <c r="O87" s="36"/>
      <c r="P87" s="112" t="s">
        <v>2668</v>
      </c>
      <c r="Q87" s="112" t="s">
        <v>117</v>
      </c>
      <c r="R87" s="132"/>
      <c r="S87" s="132"/>
      <c r="T87" s="132"/>
      <c r="U87" s="132"/>
      <c r="V87" s="132"/>
      <c r="W87" s="132"/>
      <c r="X87" s="132"/>
      <c r="Y87" s="132"/>
      <c r="Z87" s="132"/>
      <c r="AA87" s="132"/>
      <c r="AB87" s="132"/>
      <c r="AC87" s="132"/>
      <c r="AD87" s="132"/>
      <c r="AE87" s="132"/>
      <c r="AF87" s="132"/>
      <c r="AG87" s="132"/>
      <c r="AH87" s="132"/>
      <c r="AI87" s="90"/>
      <c r="AJ87" s="112" t="s">
        <v>117</v>
      </c>
      <c r="AK87" s="34" t="s">
        <v>1503</v>
      </c>
      <c r="AL87" s="35" t="s">
        <v>2418</v>
      </c>
      <c r="AM87" s="35" t="s">
        <v>269</v>
      </c>
      <c r="AN87" s="91"/>
      <c r="AO87" s="162"/>
      <c r="AP87" s="157"/>
      <c r="AQ87" s="158" t="s">
        <v>2016</v>
      </c>
      <c r="AR87" s="161" t="s">
        <v>2061</v>
      </c>
      <c r="AS87" s="158" t="str">
        <f>AR87&amp;AQ87</f>
        <v>园区基础设施生态环保</v>
      </c>
      <c r="AT87" s="158" t="s">
        <v>2018</v>
      </c>
      <c r="AU87" s="158"/>
      <c r="AV87" s="157"/>
      <c r="AW87" s="161"/>
      <c r="AX87" s="160"/>
      <c r="AY87" s="157"/>
      <c r="AZ87" s="157"/>
      <c r="BA87" s="157"/>
      <c r="BB87" s="157"/>
      <c r="BC87" s="157"/>
      <c r="BD87" s="157"/>
      <c r="BE87" s="157"/>
      <c r="BF87" s="157"/>
      <c r="BG87" s="7" t="s">
        <v>205</v>
      </c>
      <c r="BH87" s="7" t="s">
        <v>1980</v>
      </c>
      <c r="BI87" s="204" t="str">
        <f>BG87&amp;AM87</f>
        <v>政府灵山县人民政府</v>
      </c>
      <c r="BJ87" s="204" t="str">
        <f>BH87&amp;AM87</f>
        <v>基础设施灵山县人民政府</v>
      </c>
      <c r="BK87" s="205">
        <f>IF(N87&gt;0,1,0)</f>
        <v>0</v>
      </c>
      <c r="BL87" s="157" t="str">
        <f>IF(L87&lt;1000,"",AS87&amp;"1000")</f>
        <v>园区基础设施生态环保1000</v>
      </c>
      <c r="BM87" s="157" t="str">
        <f>IF(L87&lt;2000,"",AS87&amp;"2000")</f>
        <v/>
      </c>
      <c r="BN87" s="157" t="str">
        <f>IF(L87&lt;5000,"",AS87&amp;"5000")</f>
        <v/>
      </c>
      <c r="BO87" s="157">
        <f>IF(R87&gt;0,1,0)</f>
        <v>0</v>
      </c>
      <c r="BP87" s="157">
        <f>IF(X87&gt;0,1,0)</f>
        <v>0</v>
      </c>
      <c r="BQ87" s="157">
        <f>IF(U87&gt;0,1,0)</f>
        <v>0</v>
      </c>
      <c r="BR87" s="157">
        <f>IF(AA87&gt;0,1,0)</f>
        <v>0</v>
      </c>
      <c r="BS87" s="157">
        <f>IF(AD87&gt;0,1,0)</f>
        <v>0</v>
      </c>
      <c r="BT87" s="181"/>
      <c r="BU87" s="206"/>
      <c r="BY87" s="7"/>
    </row>
    <row r="88" s="9" customFormat="1" ht="30" customHeight="1" spans="1:77">
      <c r="A88" s="551"/>
      <c r="B88" s="557" t="str">
        <f>"路网工程（"&amp;SUBTOTAL(3,C89:C97)&amp;"个）"</f>
        <v>路网工程（9个）</v>
      </c>
      <c r="C88" s="551"/>
      <c r="D88" s="555"/>
      <c r="E88" s="551"/>
      <c r="F88" s="134">
        <f t="shared" ref="F88:M88" si="176">SUBTOTAL(9,F89:F97)</f>
        <v>268708</v>
      </c>
      <c r="G88" s="134">
        <f t="shared" si="176"/>
        <v>219641</v>
      </c>
      <c r="H88" s="134"/>
      <c r="I88" s="134">
        <f t="shared" si="176"/>
        <v>15298</v>
      </c>
      <c r="J88" s="134">
        <f t="shared" si="176"/>
        <v>26048</v>
      </c>
      <c r="K88" s="134">
        <f t="shared" si="176"/>
        <v>40541</v>
      </c>
      <c r="L88" s="134">
        <f t="shared" si="176"/>
        <v>46041</v>
      </c>
      <c r="M88" s="134">
        <f t="shared" si="176"/>
        <v>0</v>
      </c>
      <c r="N88" s="134"/>
      <c r="O88" s="134"/>
      <c r="P88" s="244"/>
      <c r="Q88" s="112"/>
      <c r="R88" s="132"/>
      <c r="S88" s="132"/>
      <c r="T88" s="132"/>
      <c r="U88" s="132"/>
      <c r="V88" s="132"/>
      <c r="W88" s="132"/>
      <c r="X88" s="132"/>
      <c r="Y88" s="132"/>
      <c r="Z88" s="132"/>
      <c r="AA88" s="132"/>
      <c r="AB88" s="132"/>
      <c r="AC88" s="132"/>
      <c r="AD88" s="132"/>
      <c r="AE88" s="132"/>
      <c r="AF88" s="132"/>
      <c r="AG88" s="132"/>
      <c r="AH88" s="132"/>
      <c r="AI88" s="90"/>
      <c r="AJ88" s="112"/>
      <c r="AK88" s="591"/>
      <c r="AL88" s="134"/>
      <c r="AM88" s="134"/>
      <c r="AN88" s="91"/>
      <c r="AO88" s="272"/>
      <c r="AP88" s="165"/>
      <c r="AQ88" s="158"/>
      <c r="AR88" s="161"/>
      <c r="AS88" s="158"/>
      <c r="AT88" s="158"/>
      <c r="AU88" s="158"/>
      <c r="AV88" s="165"/>
      <c r="AW88" s="169"/>
      <c r="AX88" s="165"/>
      <c r="AY88" s="165"/>
      <c r="AZ88" s="165"/>
      <c r="BA88" s="165"/>
      <c r="BB88" s="165"/>
      <c r="BC88" s="169"/>
      <c r="BD88" s="169"/>
      <c r="BE88" s="169"/>
      <c r="BF88" s="165"/>
      <c r="BK88" s="529"/>
      <c r="BL88" s="165"/>
      <c r="BM88" s="165"/>
      <c r="BN88" s="165"/>
      <c r="BO88" s="165"/>
      <c r="BP88" s="165"/>
      <c r="BQ88" s="165"/>
      <c r="BR88" s="165"/>
      <c r="BS88" s="165"/>
      <c r="BT88" s="183"/>
      <c r="BY88" s="7"/>
    </row>
    <row r="89" s="9" customFormat="1" ht="131.25" customHeight="1" spans="1:77">
      <c r="A89" s="23">
        <f>SUBTOTAL(3,C$8:C89)</f>
        <v>59</v>
      </c>
      <c r="B89" s="55" t="s">
        <v>1407</v>
      </c>
      <c r="C89" s="23" t="s">
        <v>810</v>
      </c>
      <c r="D89" s="58" t="s">
        <v>1408</v>
      </c>
      <c r="E89" s="35" t="s">
        <v>1409</v>
      </c>
      <c r="F89" s="67">
        <v>103800</v>
      </c>
      <c r="G89" s="67">
        <v>94017</v>
      </c>
      <c r="H89" s="81" t="s">
        <v>209</v>
      </c>
      <c r="I89" s="37">
        <v>2000</v>
      </c>
      <c r="J89" s="37">
        <v>5000</v>
      </c>
      <c r="K89" s="37">
        <v>9783</v>
      </c>
      <c r="L89" s="67">
        <v>9783</v>
      </c>
      <c r="M89" s="67"/>
      <c r="N89" s="36"/>
      <c r="O89" s="36"/>
      <c r="P89" s="112" t="s">
        <v>2669</v>
      </c>
      <c r="Q89" s="112" t="s">
        <v>2670</v>
      </c>
      <c r="R89" s="132">
        <v>617.2425</v>
      </c>
      <c r="S89" s="132">
        <v>617</v>
      </c>
      <c r="T89" s="132"/>
      <c r="U89" s="132"/>
      <c r="V89" s="132"/>
      <c r="W89" s="132"/>
      <c r="X89" s="132"/>
      <c r="Y89" s="132"/>
      <c r="Z89" s="132"/>
      <c r="AA89" s="132"/>
      <c r="AB89" s="132"/>
      <c r="AC89" s="132"/>
      <c r="AD89" s="132">
        <v>5000</v>
      </c>
      <c r="AE89" s="132"/>
      <c r="AF89" s="132"/>
      <c r="AG89" s="132">
        <v>3000</v>
      </c>
      <c r="AH89" s="132">
        <v>2000</v>
      </c>
      <c r="AI89" s="90"/>
      <c r="AJ89" s="112" t="s">
        <v>117</v>
      </c>
      <c r="AK89" s="34" t="s">
        <v>1003</v>
      </c>
      <c r="AL89" s="35" t="s">
        <v>2423</v>
      </c>
      <c r="AM89" s="35" t="s">
        <v>119</v>
      </c>
      <c r="AN89" s="91"/>
      <c r="AO89" s="162"/>
      <c r="AP89" s="157"/>
      <c r="AQ89" s="161" t="s">
        <v>2020</v>
      </c>
      <c r="AR89" s="161" t="s">
        <v>2061</v>
      </c>
      <c r="AS89" s="158" t="str">
        <f t="shared" ref="AS89:AS97" si="177">AR89&amp;AQ89</f>
        <v>园区基础设施路网工程</v>
      </c>
      <c r="AT89" s="158" t="s">
        <v>2021</v>
      </c>
      <c r="AU89" s="161"/>
      <c r="AV89" s="161"/>
      <c r="AW89" s="161"/>
      <c r="AX89" s="160"/>
      <c r="AY89" s="157"/>
      <c r="AZ89" s="157"/>
      <c r="BA89" s="157"/>
      <c r="BB89" s="157"/>
      <c r="BC89" s="157"/>
      <c r="BD89" s="157"/>
      <c r="BE89" s="157"/>
      <c r="BF89" s="157"/>
      <c r="BG89" s="7" t="s">
        <v>205</v>
      </c>
      <c r="BH89" s="7" t="s">
        <v>1980</v>
      </c>
      <c r="BI89" s="204" t="str">
        <f t="shared" ref="BI89:BI97" si="178">BG89&amp;AM89</f>
        <v>政府钦州港区管委</v>
      </c>
      <c r="BJ89" s="204" t="str">
        <f t="shared" ref="BJ89:BJ97" si="179">BH89&amp;AM89</f>
        <v>基础设施钦州港区管委</v>
      </c>
      <c r="BK89" s="205">
        <f t="shared" ref="BK89:BK97" si="180">IF(N89&gt;0,1,0)</f>
        <v>0</v>
      </c>
      <c r="BL89" s="157" t="str">
        <f t="shared" ref="BL89:BL97" si="181">IF(L89&lt;1000,"",AS89&amp;"1000")</f>
        <v>园区基础设施路网工程1000</v>
      </c>
      <c r="BM89" s="157" t="str">
        <f t="shared" ref="BM89:BM97" si="182">IF(L89&lt;2000,"",AS89&amp;"2000")</f>
        <v>园区基础设施路网工程2000</v>
      </c>
      <c r="BN89" s="157" t="str">
        <f t="shared" ref="BN89:BN97" si="183">IF(L89&lt;5000,"",AS89&amp;"5000")</f>
        <v>园区基础设施路网工程5000</v>
      </c>
      <c r="BO89" s="157">
        <f t="shared" ref="BO89:BO97" si="184">IF(R89&gt;0,1,0)</f>
        <v>1</v>
      </c>
      <c r="BP89" s="157">
        <f t="shared" ref="BP89:BP97" si="185">IF(X89&gt;0,1,0)</f>
        <v>0</v>
      </c>
      <c r="BQ89" s="157">
        <f t="shared" ref="BQ89:BQ97" si="186">IF(U89&gt;0,1,0)</f>
        <v>0</v>
      </c>
      <c r="BR89" s="157">
        <f t="shared" ref="BR89:BR97" si="187">IF(AA89&gt;0,1,0)</f>
        <v>0</v>
      </c>
      <c r="BS89" s="157">
        <f t="shared" ref="BS89:BS97" si="188">IF(AD89&gt;0,1,0)</f>
        <v>1</v>
      </c>
      <c r="BT89" s="157"/>
      <c r="BU89" s="206"/>
      <c r="BW89" s="7" t="s">
        <v>1890</v>
      </c>
      <c r="BY89" s="7"/>
    </row>
    <row r="90" ht="73.5" customHeight="1" spans="1:77">
      <c r="A90" s="23">
        <f>SUBTOTAL(3,C$8:C90)</f>
        <v>60</v>
      </c>
      <c r="B90" s="55" t="s">
        <v>1013</v>
      </c>
      <c r="C90" s="35" t="s">
        <v>810</v>
      </c>
      <c r="D90" s="58" t="s">
        <v>1014</v>
      </c>
      <c r="E90" s="35" t="s">
        <v>832</v>
      </c>
      <c r="F90" s="36">
        <v>74000</v>
      </c>
      <c r="G90" s="36">
        <v>64000</v>
      </c>
      <c r="H90" s="81" t="s">
        <v>82</v>
      </c>
      <c r="I90" s="37">
        <v>3000</v>
      </c>
      <c r="J90" s="37">
        <v>5300</v>
      </c>
      <c r="K90" s="37">
        <v>7600</v>
      </c>
      <c r="L90" s="36">
        <v>10000</v>
      </c>
      <c r="M90" s="36"/>
      <c r="N90" s="50"/>
      <c r="O90" s="36"/>
      <c r="P90" s="638" t="s">
        <v>2671</v>
      </c>
      <c r="Q90" s="638" t="s">
        <v>117</v>
      </c>
      <c r="R90" s="643">
        <v>1145</v>
      </c>
      <c r="S90" s="643">
        <v>1145</v>
      </c>
      <c r="T90" s="643"/>
      <c r="U90" s="643">
        <v>190</v>
      </c>
      <c r="V90" s="643"/>
      <c r="W90" s="643">
        <v>190</v>
      </c>
      <c r="X90" s="643">
        <v>150</v>
      </c>
      <c r="Y90" s="643"/>
      <c r="Z90" s="643">
        <v>150</v>
      </c>
      <c r="AA90" s="643"/>
      <c r="AB90" s="643"/>
      <c r="AC90" s="643"/>
      <c r="AD90" s="132"/>
      <c r="AE90" s="132"/>
      <c r="AF90" s="132"/>
      <c r="AG90" s="643"/>
      <c r="AH90" s="643"/>
      <c r="AI90" s="90"/>
      <c r="AJ90" s="638" t="s">
        <v>1015</v>
      </c>
      <c r="AK90" s="123" t="s">
        <v>766</v>
      </c>
      <c r="AL90" s="129" t="s">
        <v>2427</v>
      </c>
      <c r="AM90" s="67" t="s">
        <v>185</v>
      </c>
      <c r="AN90" s="91" t="s">
        <v>2672</v>
      </c>
      <c r="AO90" s="162"/>
      <c r="AP90" s="157"/>
      <c r="AQ90" s="161" t="s">
        <v>2020</v>
      </c>
      <c r="AR90" s="161" t="s">
        <v>2061</v>
      </c>
      <c r="AS90" s="158" t="str">
        <f t="shared" si="177"/>
        <v>园区基础设施路网工程</v>
      </c>
      <c r="AT90" s="158" t="s">
        <v>2021</v>
      </c>
      <c r="AU90" s="158"/>
      <c r="AV90" s="161"/>
      <c r="AW90" s="161"/>
      <c r="AX90" s="160"/>
      <c r="AY90" s="157"/>
      <c r="AZ90" s="157"/>
      <c r="BA90" s="157"/>
      <c r="BB90" s="157"/>
      <c r="BC90" s="157"/>
      <c r="BD90" s="157"/>
      <c r="BE90" s="157"/>
      <c r="BF90" s="157"/>
      <c r="BG90" s="7" t="s">
        <v>205</v>
      </c>
      <c r="BH90" s="7" t="s">
        <v>1980</v>
      </c>
      <c r="BI90" s="204" t="str">
        <f t="shared" si="178"/>
        <v>政府中马钦州产业园区管委</v>
      </c>
      <c r="BJ90" s="204" t="str">
        <f t="shared" si="179"/>
        <v>基础设施中马钦州产业园区管委</v>
      </c>
      <c r="BK90" s="205">
        <f t="shared" si="180"/>
        <v>0</v>
      </c>
      <c r="BL90" s="157" t="str">
        <f t="shared" si="181"/>
        <v>园区基础设施路网工程1000</v>
      </c>
      <c r="BM90" s="157" t="str">
        <f t="shared" si="182"/>
        <v>园区基础设施路网工程2000</v>
      </c>
      <c r="BN90" s="157" t="str">
        <f t="shared" si="183"/>
        <v>园区基础设施路网工程5000</v>
      </c>
      <c r="BO90" s="157">
        <f t="shared" si="184"/>
        <v>1</v>
      </c>
      <c r="BP90" s="157">
        <f t="shared" si="185"/>
        <v>1</v>
      </c>
      <c r="BQ90" s="157">
        <f t="shared" si="186"/>
        <v>1</v>
      </c>
      <c r="BR90" s="157">
        <f t="shared" si="187"/>
        <v>0</v>
      </c>
      <c r="BS90" s="157">
        <f t="shared" si="188"/>
        <v>0</v>
      </c>
      <c r="BT90" s="181"/>
      <c r="BU90" s="206"/>
      <c r="BW90" s="7" t="s">
        <v>1890</v>
      </c>
      <c r="BY90" s="7"/>
    </row>
    <row r="91" ht="69" customHeight="1" spans="1:77">
      <c r="A91" s="23">
        <f>SUBTOTAL(3,C$8:C91)</f>
        <v>61</v>
      </c>
      <c r="B91" s="55" t="s">
        <v>1474</v>
      </c>
      <c r="C91" s="92" t="s">
        <v>810</v>
      </c>
      <c r="D91" s="34" t="s">
        <v>1475</v>
      </c>
      <c r="E91" s="35" t="s">
        <v>812</v>
      </c>
      <c r="F91" s="38">
        <v>36000</v>
      </c>
      <c r="G91" s="38">
        <v>24000</v>
      </c>
      <c r="H91" s="81" t="s">
        <v>2673</v>
      </c>
      <c r="I91" s="76">
        <v>4000</v>
      </c>
      <c r="J91" s="76">
        <v>7000</v>
      </c>
      <c r="K91" s="76">
        <v>11000</v>
      </c>
      <c r="L91" s="38">
        <v>12000</v>
      </c>
      <c r="M91" s="38"/>
      <c r="N91" s="36"/>
      <c r="O91" s="639"/>
      <c r="P91" s="112" t="s">
        <v>2674</v>
      </c>
      <c r="Q91" s="124" t="s">
        <v>117</v>
      </c>
      <c r="R91" s="115">
        <v>283.33</v>
      </c>
      <c r="S91" s="115">
        <v>283.33</v>
      </c>
      <c r="T91" s="115"/>
      <c r="U91" s="115"/>
      <c r="V91" s="115"/>
      <c r="W91" s="115"/>
      <c r="X91" s="115"/>
      <c r="Y91" s="115"/>
      <c r="Z91" s="115"/>
      <c r="AA91" s="115">
        <v>3</v>
      </c>
      <c r="AB91" s="115"/>
      <c r="AC91" s="115">
        <v>3</v>
      </c>
      <c r="AD91" s="115">
        <v>25332</v>
      </c>
      <c r="AE91" s="115"/>
      <c r="AF91" s="115"/>
      <c r="AG91" s="115"/>
      <c r="AH91" s="115">
        <v>25332</v>
      </c>
      <c r="AI91" s="90"/>
      <c r="AJ91" s="112" t="s">
        <v>1476</v>
      </c>
      <c r="AK91" s="34" t="s">
        <v>1416</v>
      </c>
      <c r="AL91" s="35" t="s">
        <v>1914</v>
      </c>
      <c r="AM91" s="67" t="s">
        <v>185</v>
      </c>
      <c r="AN91" s="91"/>
      <c r="AO91" s="162"/>
      <c r="AP91" s="157"/>
      <c r="AQ91" s="161" t="s">
        <v>2020</v>
      </c>
      <c r="AR91" s="161" t="s">
        <v>2061</v>
      </c>
      <c r="AS91" s="158" t="str">
        <f t="shared" si="177"/>
        <v>园区基础设施路网工程</v>
      </c>
      <c r="AT91" s="158" t="s">
        <v>2021</v>
      </c>
      <c r="AU91" s="158"/>
      <c r="AV91" s="161"/>
      <c r="AW91" s="161"/>
      <c r="AX91" s="160"/>
      <c r="AY91" s="157"/>
      <c r="AZ91" s="157"/>
      <c r="BA91" s="157"/>
      <c r="BB91" s="157"/>
      <c r="BC91" s="157"/>
      <c r="BD91" s="157"/>
      <c r="BE91" s="157"/>
      <c r="BF91" s="157"/>
      <c r="BG91" s="7" t="s">
        <v>205</v>
      </c>
      <c r="BH91" s="7" t="s">
        <v>1980</v>
      </c>
      <c r="BI91" s="204" t="str">
        <f t="shared" si="178"/>
        <v>政府中马钦州产业园区管委</v>
      </c>
      <c r="BJ91" s="204" t="str">
        <f t="shared" si="179"/>
        <v>基础设施中马钦州产业园区管委</v>
      </c>
      <c r="BK91" s="205">
        <f t="shared" si="180"/>
        <v>0</v>
      </c>
      <c r="BL91" s="157" t="str">
        <f t="shared" si="181"/>
        <v>园区基础设施路网工程1000</v>
      </c>
      <c r="BM91" s="157" t="str">
        <f t="shared" si="182"/>
        <v>园区基础设施路网工程2000</v>
      </c>
      <c r="BN91" s="157" t="str">
        <f t="shared" si="183"/>
        <v>园区基础设施路网工程5000</v>
      </c>
      <c r="BO91" s="157">
        <f t="shared" si="184"/>
        <v>1</v>
      </c>
      <c r="BP91" s="157">
        <f t="shared" si="185"/>
        <v>0</v>
      </c>
      <c r="BQ91" s="157">
        <f t="shared" si="186"/>
        <v>0</v>
      </c>
      <c r="BR91" s="157">
        <f t="shared" si="187"/>
        <v>1</v>
      </c>
      <c r="BS91" s="157">
        <f t="shared" si="188"/>
        <v>1</v>
      </c>
      <c r="BT91" s="181"/>
      <c r="BU91" s="206"/>
      <c r="BY91" s="7"/>
    </row>
    <row r="92" ht="69.75" customHeight="1" spans="1:77">
      <c r="A92" s="23">
        <f>SUBTOTAL(3,C$8:C92)</f>
        <v>62</v>
      </c>
      <c r="B92" s="55" t="s">
        <v>1477</v>
      </c>
      <c r="C92" s="92" t="s">
        <v>810</v>
      </c>
      <c r="D92" s="34" t="s">
        <v>1478</v>
      </c>
      <c r="E92" s="35" t="s">
        <v>812</v>
      </c>
      <c r="F92" s="38">
        <v>13200</v>
      </c>
      <c r="G92" s="38">
        <v>8450</v>
      </c>
      <c r="H92" s="81" t="s">
        <v>209</v>
      </c>
      <c r="I92" s="37">
        <v>1000</v>
      </c>
      <c r="J92" s="37">
        <v>2250</v>
      </c>
      <c r="K92" s="37">
        <v>3500</v>
      </c>
      <c r="L92" s="38">
        <v>4750</v>
      </c>
      <c r="M92" s="38"/>
      <c r="N92" s="36"/>
      <c r="O92" s="156"/>
      <c r="P92" s="112" t="s">
        <v>2675</v>
      </c>
      <c r="Q92" s="124" t="s">
        <v>117</v>
      </c>
      <c r="R92" s="115">
        <v>101.87</v>
      </c>
      <c r="S92" s="115">
        <v>101.87</v>
      </c>
      <c r="T92" s="115"/>
      <c r="U92" s="115"/>
      <c r="V92" s="115"/>
      <c r="W92" s="115"/>
      <c r="X92" s="115"/>
      <c r="Y92" s="115"/>
      <c r="Z92" s="115"/>
      <c r="AA92" s="115"/>
      <c r="AB92" s="115"/>
      <c r="AC92" s="115"/>
      <c r="AD92" s="115">
        <v>3015</v>
      </c>
      <c r="AE92" s="115"/>
      <c r="AF92" s="115"/>
      <c r="AG92" s="115"/>
      <c r="AH92" s="115">
        <v>3015</v>
      </c>
      <c r="AI92" s="90"/>
      <c r="AJ92" s="112" t="s">
        <v>117</v>
      </c>
      <c r="AK92" s="34" t="s">
        <v>1416</v>
      </c>
      <c r="AL92" s="35" t="s">
        <v>1914</v>
      </c>
      <c r="AM92" s="67" t="s">
        <v>185</v>
      </c>
      <c r="AN92" s="91"/>
      <c r="AO92" s="162"/>
      <c r="AP92" s="157"/>
      <c r="AQ92" s="161" t="s">
        <v>2020</v>
      </c>
      <c r="AR92" s="161" t="s">
        <v>2061</v>
      </c>
      <c r="AS92" s="158" t="str">
        <f t="shared" si="177"/>
        <v>园区基础设施路网工程</v>
      </c>
      <c r="AT92" s="158" t="s">
        <v>2021</v>
      </c>
      <c r="AU92" s="158"/>
      <c r="AV92" s="161"/>
      <c r="AW92" s="161"/>
      <c r="AX92" s="160"/>
      <c r="AY92" s="157"/>
      <c r="AZ92" s="157"/>
      <c r="BA92" s="157"/>
      <c r="BB92" s="157"/>
      <c r="BC92" s="157"/>
      <c r="BD92" s="157"/>
      <c r="BE92" s="157"/>
      <c r="BF92" s="157"/>
      <c r="BG92" s="7" t="s">
        <v>205</v>
      </c>
      <c r="BH92" s="7" t="s">
        <v>1980</v>
      </c>
      <c r="BI92" s="204" t="str">
        <f t="shared" si="178"/>
        <v>政府中马钦州产业园区管委</v>
      </c>
      <c r="BJ92" s="204" t="str">
        <f t="shared" si="179"/>
        <v>基础设施中马钦州产业园区管委</v>
      </c>
      <c r="BK92" s="205">
        <f t="shared" si="180"/>
        <v>0</v>
      </c>
      <c r="BL92" s="157" t="str">
        <f t="shared" si="181"/>
        <v>园区基础设施路网工程1000</v>
      </c>
      <c r="BM92" s="157" t="str">
        <f t="shared" si="182"/>
        <v>园区基础设施路网工程2000</v>
      </c>
      <c r="BN92" s="157" t="str">
        <f t="shared" si="183"/>
        <v/>
      </c>
      <c r="BO92" s="157">
        <f t="shared" si="184"/>
        <v>1</v>
      </c>
      <c r="BP92" s="157">
        <f t="shared" si="185"/>
        <v>0</v>
      </c>
      <c r="BQ92" s="157">
        <f t="shared" si="186"/>
        <v>0</v>
      </c>
      <c r="BR92" s="157">
        <f t="shared" si="187"/>
        <v>0</v>
      </c>
      <c r="BS92" s="157">
        <f t="shared" si="188"/>
        <v>1</v>
      </c>
      <c r="BT92" s="181"/>
      <c r="BU92" s="206"/>
      <c r="BY92" s="7"/>
    </row>
    <row r="93" ht="69.75" customHeight="1" spans="1:77">
      <c r="A93" s="23">
        <f>SUBTOTAL(3,C$8:C93)</f>
        <v>63</v>
      </c>
      <c r="B93" s="55" t="s">
        <v>1021</v>
      </c>
      <c r="C93" s="35" t="s">
        <v>810</v>
      </c>
      <c r="D93" s="34" t="s">
        <v>1022</v>
      </c>
      <c r="E93" s="35" t="s">
        <v>832</v>
      </c>
      <c r="F93" s="36">
        <v>10300</v>
      </c>
      <c r="G93" s="156">
        <v>9300</v>
      </c>
      <c r="H93" s="156" t="s">
        <v>2676</v>
      </c>
      <c r="I93" s="156">
        <v>400</v>
      </c>
      <c r="J93" s="156">
        <v>750</v>
      </c>
      <c r="K93" s="36">
        <v>800</v>
      </c>
      <c r="L93" s="36">
        <v>1000</v>
      </c>
      <c r="M93" s="36"/>
      <c r="N93" s="36"/>
      <c r="O93" s="156"/>
      <c r="P93" s="112"/>
      <c r="Q93" s="124"/>
      <c r="R93" s="115">
        <v>101.87</v>
      </c>
      <c r="S93" s="115">
        <v>101.87</v>
      </c>
      <c r="T93" s="115"/>
      <c r="U93" s="115"/>
      <c r="V93" s="115"/>
      <c r="W93" s="115"/>
      <c r="X93" s="115"/>
      <c r="Y93" s="115"/>
      <c r="Z93" s="115"/>
      <c r="AA93" s="115"/>
      <c r="AB93" s="115"/>
      <c r="AC93" s="115"/>
      <c r="AD93" s="115">
        <v>3015</v>
      </c>
      <c r="AE93" s="115"/>
      <c r="AF93" s="115"/>
      <c r="AG93" s="115"/>
      <c r="AH93" s="115">
        <v>3015</v>
      </c>
      <c r="AI93" s="90"/>
      <c r="AJ93" s="112" t="s">
        <v>117</v>
      </c>
      <c r="AK93" s="595" t="s">
        <v>591</v>
      </c>
      <c r="AL93" s="67" t="s">
        <v>2075</v>
      </c>
      <c r="AM93" s="67" t="s">
        <v>185</v>
      </c>
      <c r="AN93" s="91"/>
      <c r="AO93" s="162"/>
      <c r="AP93" s="157"/>
      <c r="AQ93" s="161" t="s">
        <v>2020</v>
      </c>
      <c r="AR93" s="161" t="s">
        <v>2061</v>
      </c>
      <c r="AS93" s="158" t="str">
        <f t="shared" si="177"/>
        <v>园区基础设施路网工程</v>
      </c>
      <c r="AT93" s="158" t="s">
        <v>2021</v>
      </c>
      <c r="AU93" s="158"/>
      <c r="AV93" s="161"/>
      <c r="AW93" s="161"/>
      <c r="AX93" s="160"/>
      <c r="AY93" s="157"/>
      <c r="AZ93" s="157"/>
      <c r="BA93" s="157"/>
      <c r="BB93" s="157"/>
      <c r="BC93" s="157"/>
      <c r="BD93" s="157"/>
      <c r="BE93" s="157"/>
      <c r="BF93" s="157"/>
      <c r="BG93" s="7" t="s">
        <v>205</v>
      </c>
      <c r="BH93" s="7" t="s">
        <v>1980</v>
      </c>
      <c r="BI93" s="204" t="str">
        <f t="shared" si="178"/>
        <v>政府中马钦州产业园区管委</v>
      </c>
      <c r="BJ93" s="204" t="str">
        <f t="shared" si="179"/>
        <v>基础设施中马钦州产业园区管委</v>
      </c>
      <c r="BK93" s="205">
        <f t="shared" si="180"/>
        <v>0</v>
      </c>
      <c r="BL93" s="157" t="str">
        <f t="shared" si="181"/>
        <v>园区基础设施路网工程1000</v>
      </c>
      <c r="BM93" s="157" t="str">
        <f t="shared" si="182"/>
        <v/>
      </c>
      <c r="BN93" s="157" t="str">
        <f t="shared" si="183"/>
        <v/>
      </c>
      <c r="BO93" s="157">
        <f t="shared" si="184"/>
        <v>1</v>
      </c>
      <c r="BP93" s="157">
        <f t="shared" si="185"/>
        <v>0</v>
      </c>
      <c r="BQ93" s="157">
        <f t="shared" si="186"/>
        <v>0</v>
      </c>
      <c r="BR93" s="157">
        <f t="shared" si="187"/>
        <v>0</v>
      </c>
      <c r="BS93" s="157">
        <f t="shared" si="188"/>
        <v>1</v>
      </c>
      <c r="BT93" s="181"/>
      <c r="BU93" s="206"/>
      <c r="BY93" s="7"/>
    </row>
    <row r="94" ht="69.75" customHeight="1" spans="1:77">
      <c r="A94" s="23">
        <f>SUBTOTAL(3,C$8:C94)</f>
        <v>64</v>
      </c>
      <c r="B94" s="55" t="s">
        <v>1479</v>
      </c>
      <c r="C94" s="35" t="s">
        <v>810</v>
      </c>
      <c r="D94" s="34" t="s">
        <v>1480</v>
      </c>
      <c r="E94" s="35" t="s">
        <v>812</v>
      </c>
      <c r="F94" s="38">
        <v>6500</v>
      </c>
      <c r="G94" s="38">
        <v>4090</v>
      </c>
      <c r="H94" s="81" t="s">
        <v>113</v>
      </c>
      <c r="I94" s="37">
        <v>1100</v>
      </c>
      <c r="J94" s="37">
        <v>1200</v>
      </c>
      <c r="K94" s="38">
        <v>2410</v>
      </c>
      <c r="L94" s="38">
        <v>2410</v>
      </c>
      <c r="M94" s="38"/>
      <c r="N94" s="111"/>
      <c r="O94" s="67"/>
      <c r="P94" s="112" t="s">
        <v>1999</v>
      </c>
      <c r="Q94" s="124" t="s">
        <v>117</v>
      </c>
      <c r="R94" s="115">
        <v>42.8</v>
      </c>
      <c r="S94" s="115">
        <v>42.8</v>
      </c>
      <c r="T94" s="115"/>
      <c r="U94" s="115"/>
      <c r="V94" s="115"/>
      <c r="W94" s="115"/>
      <c r="X94" s="115"/>
      <c r="Y94" s="115"/>
      <c r="Z94" s="115"/>
      <c r="AA94" s="115">
        <v>28</v>
      </c>
      <c r="AB94" s="115"/>
      <c r="AC94" s="115">
        <v>28</v>
      </c>
      <c r="AD94" s="115">
        <v>3746</v>
      </c>
      <c r="AE94" s="115"/>
      <c r="AF94" s="115"/>
      <c r="AG94" s="115"/>
      <c r="AH94" s="115">
        <v>3746</v>
      </c>
      <c r="AI94" s="90"/>
      <c r="AJ94" s="112" t="s">
        <v>1481</v>
      </c>
      <c r="AK94" s="34" t="s">
        <v>1416</v>
      </c>
      <c r="AL94" s="35" t="s">
        <v>1914</v>
      </c>
      <c r="AM94" s="67" t="s">
        <v>185</v>
      </c>
      <c r="AN94" s="91"/>
      <c r="AO94" s="162"/>
      <c r="AP94" s="157"/>
      <c r="AQ94" s="161" t="s">
        <v>2020</v>
      </c>
      <c r="AR94" s="161" t="s">
        <v>2061</v>
      </c>
      <c r="AS94" s="158" t="str">
        <f t="shared" si="177"/>
        <v>园区基础设施路网工程</v>
      </c>
      <c r="AT94" s="158" t="s">
        <v>2021</v>
      </c>
      <c r="AU94" s="158"/>
      <c r="AV94" s="161"/>
      <c r="AW94" s="161"/>
      <c r="AX94" s="160"/>
      <c r="AY94" s="157"/>
      <c r="AZ94" s="157"/>
      <c r="BA94" s="157"/>
      <c r="BB94" s="157"/>
      <c r="BC94" s="157"/>
      <c r="BD94" s="157"/>
      <c r="BE94" s="157"/>
      <c r="BF94" s="157"/>
      <c r="BG94" s="7" t="s">
        <v>205</v>
      </c>
      <c r="BH94" s="7" t="s">
        <v>1980</v>
      </c>
      <c r="BI94" s="204" t="str">
        <f t="shared" si="178"/>
        <v>政府中马钦州产业园区管委</v>
      </c>
      <c r="BJ94" s="204" t="str">
        <f t="shared" si="179"/>
        <v>基础设施中马钦州产业园区管委</v>
      </c>
      <c r="BK94" s="205">
        <f t="shared" si="180"/>
        <v>0</v>
      </c>
      <c r="BL94" s="157" t="str">
        <f t="shared" si="181"/>
        <v>园区基础设施路网工程1000</v>
      </c>
      <c r="BM94" s="157" t="str">
        <f t="shared" si="182"/>
        <v>园区基础设施路网工程2000</v>
      </c>
      <c r="BN94" s="157" t="str">
        <f t="shared" si="183"/>
        <v/>
      </c>
      <c r="BO94" s="157">
        <f t="shared" si="184"/>
        <v>1</v>
      </c>
      <c r="BP94" s="157">
        <f t="shared" si="185"/>
        <v>0</v>
      </c>
      <c r="BQ94" s="157">
        <f t="shared" si="186"/>
        <v>0</v>
      </c>
      <c r="BR94" s="157">
        <f t="shared" si="187"/>
        <v>1</v>
      </c>
      <c r="BS94" s="157">
        <f t="shared" si="188"/>
        <v>1</v>
      </c>
      <c r="BT94" s="181"/>
      <c r="BU94" s="206"/>
      <c r="BY94" s="7"/>
    </row>
    <row r="95" ht="102" customHeight="1" spans="1:77">
      <c r="A95" s="23">
        <f>SUBTOTAL(3,C$8:C95)</f>
        <v>65</v>
      </c>
      <c r="B95" s="54" t="s">
        <v>1030</v>
      </c>
      <c r="C95" s="67" t="s">
        <v>810</v>
      </c>
      <c r="D95" s="123" t="s">
        <v>1031</v>
      </c>
      <c r="E95" s="67" t="s">
        <v>1032</v>
      </c>
      <c r="F95" s="67">
        <v>14600</v>
      </c>
      <c r="G95" s="67">
        <v>12700</v>
      </c>
      <c r="H95" s="81" t="s">
        <v>131</v>
      </c>
      <c r="I95" s="37">
        <v>500</v>
      </c>
      <c r="J95" s="37">
        <v>1000</v>
      </c>
      <c r="K95" s="37">
        <v>1500</v>
      </c>
      <c r="L95" s="38">
        <v>1900</v>
      </c>
      <c r="M95" s="38"/>
      <c r="N95" s="111"/>
      <c r="O95" s="67"/>
      <c r="P95" s="123" t="s">
        <v>2677</v>
      </c>
      <c r="Q95" s="123" t="s">
        <v>2678</v>
      </c>
      <c r="R95" s="134"/>
      <c r="S95" s="134"/>
      <c r="T95" s="134">
        <v>69.65</v>
      </c>
      <c r="U95" s="134">
        <v>13.527</v>
      </c>
      <c r="V95" s="134">
        <v>13.527</v>
      </c>
      <c r="W95" s="134"/>
      <c r="X95" s="134"/>
      <c r="Y95" s="134"/>
      <c r="Z95" s="134"/>
      <c r="AA95" s="134">
        <v>300</v>
      </c>
      <c r="AB95" s="134">
        <v>290</v>
      </c>
      <c r="AC95" s="134">
        <v>10</v>
      </c>
      <c r="AD95" s="134">
        <v>1500</v>
      </c>
      <c r="AE95" s="134"/>
      <c r="AF95" s="134"/>
      <c r="AG95" s="134"/>
      <c r="AH95" s="134">
        <v>1500</v>
      </c>
      <c r="AI95" s="90"/>
      <c r="AJ95" s="123" t="s">
        <v>1034</v>
      </c>
      <c r="AK95" s="123" t="s">
        <v>455</v>
      </c>
      <c r="AL95" s="67" t="s">
        <v>2394</v>
      </c>
      <c r="AM95" s="67" t="s">
        <v>240</v>
      </c>
      <c r="AN95" s="91" t="s">
        <v>2679</v>
      </c>
      <c r="AO95" s="162"/>
      <c r="AP95" s="157"/>
      <c r="AQ95" s="161" t="s">
        <v>2020</v>
      </c>
      <c r="AR95" s="161" t="s">
        <v>2061</v>
      </c>
      <c r="AS95" s="158" t="str">
        <f t="shared" si="177"/>
        <v>园区基础设施路网工程</v>
      </c>
      <c r="AT95" s="158" t="s">
        <v>2021</v>
      </c>
      <c r="AU95" s="158"/>
      <c r="AV95" s="161"/>
      <c r="AW95" s="161"/>
      <c r="AX95" s="160"/>
      <c r="AY95" s="157"/>
      <c r="AZ95" s="157"/>
      <c r="BA95" s="157"/>
      <c r="BB95" s="157"/>
      <c r="BC95" s="157"/>
      <c r="BD95" s="157"/>
      <c r="BE95" s="157"/>
      <c r="BF95" s="157"/>
      <c r="BG95" s="7" t="s">
        <v>205</v>
      </c>
      <c r="BH95" s="7" t="s">
        <v>1980</v>
      </c>
      <c r="BI95" s="204" t="str">
        <f t="shared" si="178"/>
        <v>政府钦州高新区管委</v>
      </c>
      <c r="BJ95" s="204" t="str">
        <f t="shared" si="179"/>
        <v>基础设施钦州高新区管委</v>
      </c>
      <c r="BK95" s="205">
        <f t="shared" si="180"/>
        <v>0</v>
      </c>
      <c r="BL95" s="157" t="str">
        <f t="shared" si="181"/>
        <v>园区基础设施路网工程1000</v>
      </c>
      <c r="BM95" s="157" t="str">
        <f t="shared" si="182"/>
        <v/>
      </c>
      <c r="BN95" s="157" t="str">
        <f t="shared" si="183"/>
        <v/>
      </c>
      <c r="BO95" s="157">
        <f t="shared" si="184"/>
        <v>0</v>
      </c>
      <c r="BP95" s="157">
        <f t="shared" si="185"/>
        <v>0</v>
      </c>
      <c r="BQ95" s="157">
        <f t="shared" si="186"/>
        <v>1</v>
      </c>
      <c r="BR95" s="157">
        <f t="shared" si="187"/>
        <v>1</v>
      </c>
      <c r="BS95" s="157">
        <f t="shared" si="188"/>
        <v>1</v>
      </c>
      <c r="BT95" s="181"/>
      <c r="BU95" s="206"/>
      <c r="BY95" s="7"/>
    </row>
    <row r="96" ht="66.75" customHeight="1" spans="1:77">
      <c r="A96" s="23">
        <f>SUBTOTAL(3,C$8:C96)</f>
        <v>66</v>
      </c>
      <c r="B96" s="248" t="s">
        <v>1568</v>
      </c>
      <c r="C96" s="35" t="s">
        <v>810</v>
      </c>
      <c r="D96" s="58" t="s">
        <v>1569</v>
      </c>
      <c r="E96" s="247" t="s">
        <v>832</v>
      </c>
      <c r="F96" s="633">
        <v>5048</v>
      </c>
      <c r="G96" s="257">
        <v>1850</v>
      </c>
      <c r="H96" s="81" t="s">
        <v>195</v>
      </c>
      <c r="I96" s="37">
        <v>3198</v>
      </c>
      <c r="J96" s="37">
        <v>3198</v>
      </c>
      <c r="K96" s="37">
        <v>3198</v>
      </c>
      <c r="L96" s="36">
        <v>3198</v>
      </c>
      <c r="M96" s="637"/>
      <c r="N96" s="640"/>
      <c r="O96" s="36"/>
      <c r="P96" s="641" t="s">
        <v>2680</v>
      </c>
      <c r="Q96" s="112" t="s">
        <v>117</v>
      </c>
      <c r="R96" s="132"/>
      <c r="S96" s="132"/>
      <c r="T96" s="132"/>
      <c r="U96" s="132"/>
      <c r="V96" s="132"/>
      <c r="W96" s="132"/>
      <c r="X96" s="132"/>
      <c r="Y96" s="132"/>
      <c r="Z96" s="132"/>
      <c r="AA96" s="132"/>
      <c r="AB96" s="132"/>
      <c r="AC96" s="132"/>
      <c r="AD96" s="132"/>
      <c r="AE96" s="132"/>
      <c r="AF96" s="132"/>
      <c r="AG96" s="132"/>
      <c r="AH96" s="132"/>
      <c r="AI96" s="90"/>
      <c r="AJ96" s="112" t="s">
        <v>117</v>
      </c>
      <c r="AK96" s="123" t="s">
        <v>807</v>
      </c>
      <c r="AL96" s="67" t="s">
        <v>2681</v>
      </c>
      <c r="AM96" s="35" t="s">
        <v>375</v>
      </c>
      <c r="AN96" s="91"/>
      <c r="AO96" s="162"/>
      <c r="AP96" s="157"/>
      <c r="AQ96" s="161" t="s">
        <v>2020</v>
      </c>
      <c r="AR96" s="161" t="s">
        <v>2061</v>
      </c>
      <c r="AS96" s="158" t="str">
        <f t="shared" si="177"/>
        <v>园区基础设施路网工程</v>
      </c>
      <c r="AT96" s="158" t="s">
        <v>2021</v>
      </c>
      <c r="AU96" s="158"/>
      <c r="AV96" s="161"/>
      <c r="AW96" s="161"/>
      <c r="AX96" s="160"/>
      <c r="AY96" s="157"/>
      <c r="AZ96" s="157"/>
      <c r="BA96" s="157"/>
      <c r="BB96" s="157"/>
      <c r="BC96" s="157"/>
      <c r="BD96" s="157"/>
      <c r="BE96" s="157"/>
      <c r="BF96" s="157"/>
      <c r="BG96" s="7" t="s">
        <v>205</v>
      </c>
      <c r="BH96" s="7" t="s">
        <v>1980</v>
      </c>
      <c r="BI96" s="204" t="str">
        <f t="shared" si="178"/>
        <v>政府钦北区人民政府</v>
      </c>
      <c r="BJ96" s="204" t="str">
        <f t="shared" si="179"/>
        <v>基础设施钦北区人民政府</v>
      </c>
      <c r="BK96" s="205">
        <f t="shared" si="180"/>
        <v>0</v>
      </c>
      <c r="BL96" s="157" t="str">
        <f t="shared" si="181"/>
        <v>园区基础设施路网工程1000</v>
      </c>
      <c r="BM96" s="157" t="str">
        <f t="shared" si="182"/>
        <v>园区基础设施路网工程2000</v>
      </c>
      <c r="BN96" s="157" t="str">
        <f t="shared" si="183"/>
        <v/>
      </c>
      <c r="BO96" s="157">
        <f t="shared" si="184"/>
        <v>0</v>
      </c>
      <c r="BP96" s="157">
        <f t="shared" si="185"/>
        <v>0</v>
      </c>
      <c r="BQ96" s="157">
        <f t="shared" si="186"/>
        <v>0</v>
      </c>
      <c r="BR96" s="157">
        <f t="shared" si="187"/>
        <v>0</v>
      </c>
      <c r="BS96" s="157">
        <f t="shared" si="188"/>
        <v>0</v>
      </c>
      <c r="BT96" s="181"/>
      <c r="BU96" s="206"/>
      <c r="BY96" s="7"/>
    </row>
    <row r="97" ht="63" customHeight="1" spans="1:77">
      <c r="A97" s="23">
        <f>SUBTOTAL(3,C$8:C97)</f>
        <v>67</v>
      </c>
      <c r="B97" s="248" t="s">
        <v>1565</v>
      </c>
      <c r="C97" s="35" t="s">
        <v>810</v>
      </c>
      <c r="D97" s="58" t="s">
        <v>1566</v>
      </c>
      <c r="E97" s="247" t="s">
        <v>827</v>
      </c>
      <c r="F97" s="633">
        <v>5260</v>
      </c>
      <c r="G97" s="257">
        <v>1234</v>
      </c>
      <c r="H97" s="81" t="s">
        <v>195</v>
      </c>
      <c r="I97" s="37">
        <v>100</v>
      </c>
      <c r="J97" s="37">
        <v>350</v>
      </c>
      <c r="K97" s="37">
        <v>750</v>
      </c>
      <c r="L97" s="36">
        <v>1000</v>
      </c>
      <c r="M97" s="637"/>
      <c r="N97" s="640"/>
      <c r="O97" s="36"/>
      <c r="P97" s="641" t="s">
        <v>2682</v>
      </c>
      <c r="Q97" s="112" t="s">
        <v>117</v>
      </c>
      <c r="R97" s="132"/>
      <c r="S97" s="132"/>
      <c r="T97" s="132"/>
      <c r="U97" s="132"/>
      <c r="V97" s="132"/>
      <c r="W97" s="132"/>
      <c r="X97" s="132"/>
      <c r="Y97" s="132"/>
      <c r="Z97" s="132"/>
      <c r="AA97" s="132"/>
      <c r="AB97" s="132"/>
      <c r="AC97" s="132"/>
      <c r="AD97" s="132"/>
      <c r="AE97" s="132"/>
      <c r="AF97" s="132"/>
      <c r="AG97" s="132"/>
      <c r="AH97" s="132"/>
      <c r="AI97" s="90"/>
      <c r="AJ97" s="641" t="s">
        <v>1567</v>
      </c>
      <c r="AK97" s="123" t="s">
        <v>807</v>
      </c>
      <c r="AL97" s="67" t="s">
        <v>2681</v>
      </c>
      <c r="AM97" s="35" t="s">
        <v>375</v>
      </c>
      <c r="AN97" s="91"/>
      <c r="AO97" s="162"/>
      <c r="AP97" s="157"/>
      <c r="AQ97" s="161" t="s">
        <v>2020</v>
      </c>
      <c r="AR97" s="161" t="s">
        <v>2061</v>
      </c>
      <c r="AS97" s="158" t="str">
        <f t="shared" si="177"/>
        <v>园区基础设施路网工程</v>
      </c>
      <c r="AT97" s="158" t="s">
        <v>2021</v>
      </c>
      <c r="AU97" s="158"/>
      <c r="AV97" s="161"/>
      <c r="AW97" s="161"/>
      <c r="AX97" s="160"/>
      <c r="AY97" s="157"/>
      <c r="AZ97" s="157"/>
      <c r="BA97" s="157"/>
      <c r="BB97" s="157"/>
      <c r="BC97" s="157"/>
      <c r="BD97" s="157"/>
      <c r="BE97" s="157"/>
      <c r="BF97" s="157"/>
      <c r="BG97" s="7" t="s">
        <v>205</v>
      </c>
      <c r="BH97" s="7" t="s">
        <v>1980</v>
      </c>
      <c r="BI97" s="204" t="str">
        <f t="shared" si="178"/>
        <v>政府钦北区人民政府</v>
      </c>
      <c r="BJ97" s="204" t="str">
        <f t="shared" si="179"/>
        <v>基础设施钦北区人民政府</v>
      </c>
      <c r="BK97" s="205">
        <f t="shared" si="180"/>
        <v>0</v>
      </c>
      <c r="BL97" s="157" t="str">
        <f t="shared" si="181"/>
        <v>园区基础设施路网工程1000</v>
      </c>
      <c r="BM97" s="157" t="str">
        <f t="shared" si="182"/>
        <v/>
      </c>
      <c r="BN97" s="157" t="str">
        <f t="shared" si="183"/>
        <v/>
      </c>
      <c r="BO97" s="157">
        <f t="shared" si="184"/>
        <v>0</v>
      </c>
      <c r="BP97" s="157">
        <f t="shared" si="185"/>
        <v>0</v>
      </c>
      <c r="BQ97" s="157">
        <f t="shared" si="186"/>
        <v>0</v>
      </c>
      <c r="BR97" s="157">
        <f t="shared" si="187"/>
        <v>0</v>
      </c>
      <c r="BS97" s="157">
        <f t="shared" si="188"/>
        <v>0</v>
      </c>
      <c r="BT97" s="181"/>
      <c r="BU97" s="206"/>
      <c r="BY97" s="7"/>
    </row>
    <row r="98" s="9" customFormat="1" ht="30" customHeight="1" spans="1:77">
      <c r="A98" s="551"/>
      <c r="B98" s="557" t="str">
        <f>"供水工程（"&amp;SUBTOTAL(3,C99:C99)&amp;"个）"</f>
        <v>供水工程（1个）</v>
      </c>
      <c r="C98" s="551"/>
      <c r="D98" s="555"/>
      <c r="E98" s="551"/>
      <c r="F98" s="134">
        <f t="shared" ref="F98:M98" si="189">SUBTOTAL(9,F99:F99)</f>
        <v>6300</v>
      </c>
      <c r="G98" s="134">
        <f t="shared" si="189"/>
        <v>5800</v>
      </c>
      <c r="H98" s="134"/>
      <c r="I98" s="134">
        <f t="shared" si="189"/>
        <v>500</v>
      </c>
      <c r="J98" s="134">
        <f t="shared" si="189"/>
        <v>500</v>
      </c>
      <c r="K98" s="134">
        <f t="shared" si="189"/>
        <v>500</v>
      </c>
      <c r="L98" s="134">
        <f t="shared" si="189"/>
        <v>500</v>
      </c>
      <c r="M98" s="134">
        <f t="shared" si="189"/>
        <v>0</v>
      </c>
      <c r="N98" s="134"/>
      <c r="O98" s="134"/>
      <c r="P98" s="244"/>
      <c r="Q98" s="112"/>
      <c r="R98" s="132"/>
      <c r="S98" s="132"/>
      <c r="T98" s="132"/>
      <c r="U98" s="132"/>
      <c r="V98" s="132"/>
      <c r="W98" s="132"/>
      <c r="X98" s="132"/>
      <c r="Y98" s="132"/>
      <c r="Z98" s="132"/>
      <c r="AA98" s="132"/>
      <c r="AB98" s="132"/>
      <c r="AC98" s="132"/>
      <c r="AD98" s="132"/>
      <c r="AE98" s="132"/>
      <c r="AF98" s="132"/>
      <c r="AG98" s="132"/>
      <c r="AH98" s="132"/>
      <c r="AI98" s="90"/>
      <c r="AJ98" s="112"/>
      <c r="AK98" s="591"/>
      <c r="AL98" s="134"/>
      <c r="AM98" s="134"/>
      <c r="AN98" s="91"/>
      <c r="AO98" s="272"/>
      <c r="AP98" s="165"/>
      <c r="AQ98" s="158"/>
      <c r="AR98" s="161"/>
      <c r="AS98" s="158"/>
      <c r="AT98" s="158"/>
      <c r="AU98" s="158"/>
      <c r="AV98" s="165"/>
      <c r="AW98" s="169"/>
      <c r="AX98" s="165"/>
      <c r="AY98" s="165"/>
      <c r="AZ98" s="165"/>
      <c r="BA98" s="165"/>
      <c r="BB98" s="165"/>
      <c r="BC98" s="169"/>
      <c r="BD98" s="169"/>
      <c r="BE98" s="169"/>
      <c r="BF98" s="165"/>
      <c r="BK98" s="529"/>
      <c r="BL98" s="165"/>
      <c r="BM98" s="165"/>
      <c r="BN98" s="165"/>
      <c r="BO98" s="165"/>
      <c r="BP98" s="165"/>
      <c r="BQ98" s="165"/>
      <c r="BR98" s="165"/>
      <c r="BS98" s="165"/>
      <c r="BT98" s="183"/>
      <c r="BY98" s="7"/>
    </row>
    <row r="99" ht="90.75" customHeight="1" spans="1:79">
      <c r="A99" s="23">
        <f>SUBTOTAL(3,C$8:C99)</f>
        <v>68</v>
      </c>
      <c r="B99" s="58" t="s">
        <v>1383</v>
      </c>
      <c r="C99" s="35" t="s">
        <v>810</v>
      </c>
      <c r="D99" s="60" t="s">
        <v>1384</v>
      </c>
      <c r="E99" s="23" t="s">
        <v>827</v>
      </c>
      <c r="F99" s="67">
        <v>6300</v>
      </c>
      <c r="G99" s="67">
        <v>5800</v>
      </c>
      <c r="H99" s="81" t="s">
        <v>244</v>
      </c>
      <c r="I99" s="81">
        <v>500</v>
      </c>
      <c r="J99" s="81">
        <v>500</v>
      </c>
      <c r="K99" s="81">
        <v>500</v>
      </c>
      <c r="L99" s="36">
        <v>500</v>
      </c>
      <c r="M99" s="59"/>
      <c r="N99" s="36"/>
      <c r="O99" s="36"/>
      <c r="P99" s="58"/>
      <c r="Q99" s="58"/>
      <c r="R99" s="251"/>
      <c r="S99" s="251"/>
      <c r="T99" s="251"/>
      <c r="U99" s="251"/>
      <c r="V99" s="251"/>
      <c r="W99" s="251"/>
      <c r="X99" s="251"/>
      <c r="Y99" s="251"/>
      <c r="Z99" s="251"/>
      <c r="AA99" s="251"/>
      <c r="AB99" s="251"/>
      <c r="AC99" s="251"/>
      <c r="AD99" s="251"/>
      <c r="AE99" s="251"/>
      <c r="AF99" s="251"/>
      <c r="AG99" s="251"/>
      <c r="AH99" s="251"/>
      <c r="AI99" s="90"/>
      <c r="AJ99" s="641" t="s">
        <v>117</v>
      </c>
      <c r="AK99" s="123" t="s">
        <v>807</v>
      </c>
      <c r="AL99" s="35" t="s">
        <v>2058</v>
      </c>
      <c r="AM99" s="35" t="s">
        <v>375</v>
      </c>
      <c r="AN99" s="91"/>
      <c r="AO99" s="162"/>
      <c r="AP99" s="157"/>
      <c r="AQ99" s="158" t="s">
        <v>2039</v>
      </c>
      <c r="AR99" s="161" t="s">
        <v>2061</v>
      </c>
      <c r="AS99" s="158" t="str">
        <f t="shared" ref="AS99:AS105" si="190">AR99&amp;AQ99</f>
        <v>园区基础设施供水工程</v>
      </c>
      <c r="AT99" s="158" t="s">
        <v>2018</v>
      </c>
      <c r="AU99" s="158"/>
      <c r="AV99" s="161"/>
      <c r="AW99" s="161"/>
      <c r="AX99" s="160"/>
      <c r="AY99" s="157"/>
      <c r="AZ99" s="157"/>
      <c r="BA99" s="157"/>
      <c r="BB99" s="157"/>
      <c r="BC99" s="157"/>
      <c r="BD99" s="157"/>
      <c r="BE99" s="157"/>
      <c r="BF99" s="157"/>
      <c r="BG99" s="7" t="s">
        <v>205</v>
      </c>
      <c r="BH99" s="7" t="s">
        <v>1980</v>
      </c>
      <c r="BI99" s="204" t="str">
        <f t="shared" ref="BI99:BI105" si="191">BG99&amp;AM99</f>
        <v>政府钦北区人民政府</v>
      </c>
      <c r="BJ99" s="204" t="str">
        <f t="shared" ref="BJ99:BJ105" si="192">BH99&amp;AM99</f>
        <v>基础设施钦北区人民政府</v>
      </c>
      <c r="BK99" s="205">
        <f t="shared" ref="BK99:BK104" si="193">IF(N99&gt;0,1,0)</f>
        <v>0</v>
      </c>
      <c r="BL99" s="157" t="str">
        <f t="shared" ref="BL99:BL104" si="194">IF(L99&lt;1000,"",AS99&amp;"1000")</f>
        <v/>
      </c>
      <c r="BM99" s="157" t="str">
        <f t="shared" ref="BM99:BM104" si="195">IF(L99&lt;2000,"",AS99&amp;"2000")</f>
        <v/>
      </c>
      <c r="BN99" s="157" t="str">
        <f t="shared" ref="BN99:BN104" si="196">IF(L99&lt;5000,"",AS99&amp;"5000")</f>
        <v/>
      </c>
      <c r="BO99" s="157">
        <f t="shared" ref="BO99:BO105" si="197">IF(R99&gt;0,1,0)</f>
        <v>0</v>
      </c>
      <c r="BP99" s="157">
        <f t="shared" ref="BP99:BP105" si="198">IF(X99&gt;0,1,0)</f>
        <v>0</v>
      </c>
      <c r="BQ99" s="157">
        <f t="shared" ref="BQ99:BQ105" si="199">IF(U99&gt;0,1,0)</f>
        <v>0</v>
      </c>
      <c r="BR99" s="157">
        <f t="shared" ref="BR99:BR105" si="200">IF(AA99&gt;0,1,0)</f>
        <v>0</v>
      </c>
      <c r="BS99" s="157">
        <f t="shared" ref="BS99:BS105" si="201">IF(AD99&gt;0,1,0)</f>
        <v>0</v>
      </c>
      <c r="BT99" s="181"/>
      <c r="BU99" s="206"/>
      <c r="BW99" s="7"/>
      <c r="BX99" s="7"/>
      <c r="BY99" s="7"/>
      <c r="BZ99" s="7"/>
      <c r="CA99" s="7"/>
    </row>
    <row r="100" s="9" customFormat="1" ht="30" customHeight="1" spans="1:77">
      <c r="A100" s="551"/>
      <c r="B100" s="557" t="str">
        <f>"供电工程（"&amp;SUBTOTAL(3,C101:C101)&amp;"个）"</f>
        <v>供电工程（1个）</v>
      </c>
      <c r="C100" s="551"/>
      <c r="D100" s="555"/>
      <c r="E100" s="551"/>
      <c r="F100" s="134">
        <f t="shared" ref="F100:M100" si="202">SUBTOTAL(9,F101:F101)</f>
        <v>7597</v>
      </c>
      <c r="G100" s="134">
        <f t="shared" si="202"/>
        <v>6148</v>
      </c>
      <c r="H100" s="134"/>
      <c r="I100" s="134">
        <f t="shared" si="202"/>
        <v>360</v>
      </c>
      <c r="J100" s="134">
        <f t="shared" si="202"/>
        <v>720</v>
      </c>
      <c r="K100" s="134">
        <f t="shared" si="202"/>
        <v>1080</v>
      </c>
      <c r="L100" s="134">
        <f t="shared" si="202"/>
        <v>1449</v>
      </c>
      <c r="M100" s="134">
        <f t="shared" si="202"/>
        <v>0</v>
      </c>
      <c r="N100" s="134"/>
      <c r="O100" s="134"/>
      <c r="P100" s="244"/>
      <c r="Q100" s="112"/>
      <c r="R100" s="132"/>
      <c r="S100" s="132"/>
      <c r="T100" s="132"/>
      <c r="U100" s="132"/>
      <c r="V100" s="132"/>
      <c r="W100" s="132"/>
      <c r="X100" s="132"/>
      <c r="Y100" s="132"/>
      <c r="Z100" s="132"/>
      <c r="AA100" s="132"/>
      <c r="AB100" s="132"/>
      <c r="AC100" s="132"/>
      <c r="AD100" s="132"/>
      <c r="AE100" s="132"/>
      <c r="AF100" s="132"/>
      <c r="AG100" s="132"/>
      <c r="AH100" s="132"/>
      <c r="AI100" s="90"/>
      <c r="AJ100" s="112"/>
      <c r="AK100" s="591"/>
      <c r="AL100" s="134"/>
      <c r="AM100" s="134"/>
      <c r="AN100" s="91"/>
      <c r="AO100" s="272"/>
      <c r="AP100" s="165"/>
      <c r="AQ100" s="158"/>
      <c r="AR100" s="161"/>
      <c r="AS100" s="158"/>
      <c r="AT100" s="158"/>
      <c r="AU100" s="158"/>
      <c r="AV100" s="165"/>
      <c r="AW100" s="169"/>
      <c r="AX100" s="165"/>
      <c r="AY100" s="165"/>
      <c r="AZ100" s="165"/>
      <c r="BA100" s="165"/>
      <c r="BB100" s="165"/>
      <c r="BC100" s="169"/>
      <c r="BD100" s="169"/>
      <c r="BE100" s="169"/>
      <c r="BF100" s="165"/>
      <c r="BK100" s="529"/>
      <c r="BL100" s="165"/>
      <c r="BM100" s="165"/>
      <c r="BN100" s="165"/>
      <c r="BO100" s="165"/>
      <c r="BP100" s="165"/>
      <c r="BQ100" s="165"/>
      <c r="BR100" s="165"/>
      <c r="BS100" s="165"/>
      <c r="BT100" s="183"/>
      <c r="BY100" s="7"/>
    </row>
    <row r="101" ht="90.75" customHeight="1" spans="1:79">
      <c r="A101" s="23">
        <f>SUBTOTAL(3,C$8:C101)</f>
        <v>69</v>
      </c>
      <c r="B101" s="60" t="s">
        <v>1595</v>
      </c>
      <c r="C101" s="59" t="s">
        <v>810</v>
      </c>
      <c r="D101" s="58" t="s">
        <v>1596</v>
      </c>
      <c r="E101" s="59" t="s">
        <v>1597</v>
      </c>
      <c r="F101" s="59">
        <v>7597</v>
      </c>
      <c r="G101" s="59">
        <v>6148</v>
      </c>
      <c r="H101" s="81" t="s">
        <v>113</v>
      </c>
      <c r="I101" s="37">
        <v>360</v>
      </c>
      <c r="J101" s="37">
        <v>720</v>
      </c>
      <c r="K101" s="37">
        <v>1080</v>
      </c>
      <c r="L101" s="59">
        <v>1449</v>
      </c>
      <c r="M101" s="59"/>
      <c r="N101" s="36"/>
      <c r="O101" s="36"/>
      <c r="P101" s="58" t="s">
        <v>2683</v>
      </c>
      <c r="Q101" s="58" t="s">
        <v>2684</v>
      </c>
      <c r="R101" s="251">
        <v>4.1</v>
      </c>
      <c r="S101" s="251">
        <v>4.1</v>
      </c>
      <c r="T101" s="251"/>
      <c r="U101" s="251">
        <v>4.1</v>
      </c>
      <c r="V101" s="251">
        <v>4.1</v>
      </c>
      <c r="W101" s="251"/>
      <c r="X101" s="251"/>
      <c r="Y101" s="251"/>
      <c r="Z101" s="251"/>
      <c r="AA101" s="251">
        <v>4.1</v>
      </c>
      <c r="AB101" s="251">
        <v>4.1</v>
      </c>
      <c r="AC101" s="251"/>
      <c r="AD101" s="251"/>
      <c r="AE101" s="251"/>
      <c r="AF101" s="251"/>
      <c r="AG101" s="251"/>
      <c r="AH101" s="251"/>
      <c r="AI101" s="90"/>
      <c r="AJ101" s="58" t="s">
        <v>1598</v>
      </c>
      <c r="AK101" s="58" t="s">
        <v>1586</v>
      </c>
      <c r="AL101" s="59" t="s">
        <v>2446</v>
      </c>
      <c r="AM101" s="35" t="s">
        <v>185</v>
      </c>
      <c r="AN101" s="91"/>
      <c r="AO101" s="162"/>
      <c r="AP101" s="157"/>
      <c r="AQ101" s="158" t="s">
        <v>2042</v>
      </c>
      <c r="AR101" s="161" t="s">
        <v>2061</v>
      </c>
      <c r="AS101" s="158" t="str">
        <f t="shared" si="190"/>
        <v>园区基础设施供电工程</v>
      </c>
      <c r="AT101" s="158" t="s">
        <v>2018</v>
      </c>
      <c r="AU101" s="158"/>
      <c r="AV101" s="161"/>
      <c r="AW101" s="161"/>
      <c r="AX101" s="160"/>
      <c r="AY101" s="157"/>
      <c r="AZ101" s="157"/>
      <c r="BA101" s="157"/>
      <c r="BB101" s="157"/>
      <c r="BC101" s="157"/>
      <c r="BD101" s="157"/>
      <c r="BE101" s="157"/>
      <c r="BF101" s="157"/>
      <c r="BG101" s="7" t="s">
        <v>92</v>
      </c>
      <c r="BH101" s="7" t="s">
        <v>1980</v>
      </c>
      <c r="BI101" s="204" t="str">
        <f t="shared" si="191"/>
        <v>企业中马钦州产业园区管委</v>
      </c>
      <c r="BJ101" s="204" t="str">
        <f t="shared" si="192"/>
        <v>基础设施中马钦州产业园区管委</v>
      </c>
      <c r="BK101" s="205">
        <f t="shared" si="193"/>
        <v>0</v>
      </c>
      <c r="BL101" s="157" t="str">
        <f t="shared" si="194"/>
        <v>园区基础设施供电工程1000</v>
      </c>
      <c r="BM101" s="157" t="str">
        <f t="shared" si="195"/>
        <v/>
      </c>
      <c r="BN101" s="157" t="str">
        <f t="shared" si="196"/>
        <v/>
      </c>
      <c r="BO101" s="157">
        <f t="shared" si="197"/>
        <v>1</v>
      </c>
      <c r="BP101" s="157">
        <f t="shared" si="198"/>
        <v>0</v>
      </c>
      <c r="BQ101" s="157">
        <f t="shared" si="199"/>
        <v>1</v>
      </c>
      <c r="BR101" s="157">
        <f t="shared" si="200"/>
        <v>1</v>
      </c>
      <c r="BS101" s="157">
        <f t="shared" si="201"/>
        <v>0</v>
      </c>
      <c r="BT101" s="181"/>
      <c r="BU101" s="206"/>
      <c r="BW101" s="7"/>
      <c r="BX101" s="7"/>
      <c r="BY101" s="7"/>
      <c r="BZ101" s="7"/>
      <c r="CA101" s="7"/>
    </row>
    <row r="102" s="9" customFormat="1" ht="30" customHeight="1" spans="1:77">
      <c r="A102" s="23"/>
      <c r="B102" s="557" t="str">
        <f>"其他（"&amp;SUBTOTAL(3,C103:C105)&amp;"个）"</f>
        <v>其他（3个）</v>
      </c>
      <c r="C102" s="551"/>
      <c r="D102" s="555"/>
      <c r="E102" s="551"/>
      <c r="F102" s="134">
        <f t="shared" ref="F102:M102" si="203">SUBTOTAL(9,F103:F105)</f>
        <v>60046.086</v>
      </c>
      <c r="G102" s="134">
        <f t="shared" si="203"/>
        <v>41010</v>
      </c>
      <c r="H102" s="134"/>
      <c r="I102" s="134">
        <f t="shared" si="203"/>
        <v>3800</v>
      </c>
      <c r="J102" s="134">
        <f t="shared" si="203"/>
        <v>7700</v>
      </c>
      <c r="K102" s="134">
        <f t="shared" si="203"/>
        <v>13500</v>
      </c>
      <c r="L102" s="134">
        <f t="shared" si="203"/>
        <v>19036.086</v>
      </c>
      <c r="M102" s="134">
        <f t="shared" si="203"/>
        <v>0</v>
      </c>
      <c r="N102" s="134"/>
      <c r="O102" s="134"/>
      <c r="P102" s="244"/>
      <c r="Q102" s="112"/>
      <c r="R102" s="132"/>
      <c r="S102" s="132"/>
      <c r="T102" s="132"/>
      <c r="U102" s="132"/>
      <c r="V102" s="132"/>
      <c r="W102" s="132"/>
      <c r="X102" s="132"/>
      <c r="Y102" s="132"/>
      <c r="Z102" s="132"/>
      <c r="AA102" s="132"/>
      <c r="AB102" s="132"/>
      <c r="AC102" s="132"/>
      <c r="AD102" s="132"/>
      <c r="AE102" s="132"/>
      <c r="AF102" s="132"/>
      <c r="AG102" s="132"/>
      <c r="AH102" s="132"/>
      <c r="AI102" s="90"/>
      <c r="AJ102" s="112"/>
      <c r="AK102" s="591"/>
      <c r="AL102" s="134"/>
      <c r="AM102" s="134"/>
      <c r="AN102" s="91"/>
      <c r="AO102" s="272"/>
      <c r="AP102" s="165"/>
      <c r="AQ102" s="158"/>
      <c r="AR102" s="161"/>
      <c r="AS102" s="158"/>
      <c r="AT102" s="158"/>
      <c r="AU102" s="158"/>
      <c r="AV102" s="165"/>
      <c r="AW102" s="169"/>
      <c r="AX102" s="165"/>
      <c r="AY102" s="165"/>
      <c r="AZ102" s="165"/>
      <c r="BA102" s="165"/>
      <c r="BB102" s="165"/>
      <c r="BC102" s="169"/>
      <c r="BD102" s="169"/>
      <c r="BE102" s="169"/>
      <c r="BF102" s="165"/>
      <c r="BK102" s="529"/>
      <c r="BL102" s="165"/>
      <c r="BM102" s="165"/>
      <c r="BN102" s="165"/>
      <c r="BO102" s="165"/>
      <c r="BP102" s="165"/>
      <c r="BQ102" s="165"/>
      <c r="BR102" s="165"/>
      <c r="BS102" s="165"/>
      <c r="BT102" s="183"/>
      <c r="BY102" s="7"/>
    </row>
    <row r="103" s="9" customFormat="1" ht="79.5" customHeight="1" spans="1:77">
      <c r="A103" s="23">
        <f>SUBTOTAL(3,C$8:C103)</f>
        <v>70</v>
      </c>
      <c r="B103" s="60" t="s">
        <v>1410</v>
      </c>
      <c r="C103" s="23" t="s">
        <v>810</v>
      </c>
      <c r="D103" s="66" t="s">
        <v>1411</v>
      </c>
      <c r="E103" s="23" t="s">
        <v>812</v>
      </c>
      <c r="F103" s="67">
        <v>13046.086</v>
      </c>
      <c r="G103" s="67">
        <v>10010</v>
      </c>
      <c r="H103" s="81" t="s">
        <v>131</v>
      </c>
      <c r="I103" s="37">
        <v>500</v>
      </c>
      <c r="J103" s="37">
        <v>1000</v>
      </c>
      <c r="K103" s="37">
        <v>2000</v>
      </c>
      <c r="L103" s="67">
        <v>3036.086</v>
      </c>
      <c r="M103" s="67"/>
      <c r="N103" s="111"/>
      <c r="O103" s="67"/>
      <c r="P103" s="112" t="s">
        <v>2685</v>
      </c>
      <c r="Q103" s="112" t="s">
        <v>2686</v>
      </c>
      <c r="R103" s="132"/>
      <c r="S103" s="132"/>
      <c r="T103" s="132"/>
      <c r="U103" s="132"/>
      <c r="V103" s="132"/>
      <c r="W103" s="132"/>
      <c r="X103" s="132"/>
      <c r="Y103" s="132"/>
      <c r="Z103" s="132"/>
      <c r="AA103" s="132"/>
      <c r="AB103" s="132"/>
      <c r="AC103" s="132"/>
      <c r="AD103" s="132">
        <v>3036</v>
      </c>
      <c r="AE103" s="132"/>
      <c r="AF103" s="132"/>
      <c r="AG103" s="132"/>
      <c r="AH103" s="132">
        <v>3036</v>
      </c>
      <c r="AI103" s="90"/>
      <c r="AJ103" s="112" t="s">
        <v>1412</v>
      </c>
      <c r="AK103" s="123" t="s">
        <v>1003</v>
      </c>
      <c r="AL103" s="67" t="s">
        <v>2687</v>
      </c>
      <c r="AM103" s="67" t="s">
        <v>119</v>
      </c>
      <c r="AN103" s="91"/>
      <c r="AO103" s="162"/>
      <c r="AP103" s="157"/>
      <c r="AQ103" s="161" t="s">
        <v>2051</v>
      </c>
      <c r="AR103" s="161" t="s">
        <v>2061</v>
      </c>
      <c r="AS103" s="158" t="str">
        <f t="shared" si="190"/>
        <v>园区基础设施其他</v>
      </c>
      <c r="AT103" s="158" t="s">
        <v>2018</v>
      </c>
      <c r="AU103" s="161"/>
      <c r="AV103" s="161"/>
      <c r="AW103" s="161"/>
      <c r="AX103" s="160"/>
      <c r="AY103" s="157"/>
      <c r="AZ103" s="157"/>
      <c r="BA103" s="157"/>
      <c r="BB103" s="157"/>
      <c r="BC103" s="157"/>
      <c r="BD103" s="157"/>
      <c r="BE103" s="157"/>
      <c r="BF103" s="157"/>
      <c r="BG103" s="7" t="s">
        <v>205</v>
      </c>
      <c r="BH103" s="7" t="s">
        <v>1980</v>
      </c>
      <c r="BI103" s="204" t="str">
        <f t="shared" si="191"/>
        <v>政府钦州港区管委</v>
      </c>
      <c r="BJ103" s="204" t="str">
        <f t="shared" si="192"/>
        <v>基础设施钦州港区管委</v>
      </c>
      <c r="BK103" s="205">
        <f t="shared" si="193"/>
        <v>0</v>
      </c>
      <c r="BL103" s="157" t="str">
        <f t="shared" si="194"/>
        <v>园区基础设施其他1000</v>
      </c>
      <c r="BM103" s="157" t="str">
        <f t="shared" si="195"/>
        <v>园区基础设施其他2000</v>
      </c>
      <c r="BN103" s="157" t="str">
        <f t="shared" si="196"/>
        <v/>
      </c>
      <c r="BO103" s="157">
        <f t="shared" si="197"/>
        <v>0</v>
      </c>
      <c r="BP103" s="157">
        <f t="shared" si="198"/>
        <v>0</v>
      </c>
      <c r="BQ103" s="157">
        <f t="shared" si="199"/>
        <v>0</v>
      </c>
      <c r="BR103" s="157">
        <f t="shared" si="200"/>
        <v>0</v>
      </c>
      <c r="BS103" s="157">
        <f t="shared" si="201"/>
        <v>1</v>
      </c>
      <c r="BT103" s="157"/>
      <c r="BU103" s="206"/>
      <c r="BW103" s="7"/>
      <c r="BY103" s="7"/>
    </row>
    <row r="104" ht="71.25" customHeight="1" spans="1:79">
      <c r="A104" s="23">
        <f>SUBTOTAL(3,C$8:C104)</f>
        <v>71</v>
      </c>
      <c r="B104" s="55" t="s">
        <v>1017</v>
      </c>
      <c r="C104" s="35" t="s">
        <v>810</v>
      </c>
      <c r="D104" s="58" t="s">
        <v>1018</v>
      </c>
      <c r="E104" s="35" t="s">
        <v>832</v>
      </c>
      <c r="F104" s="35">
        <v>40000</v>
      </c>
      <c r="G104" s="38">
        <v>26000</v>
      </c>
      <c r="H104" s="81" t="s">
        <v>82</v>
      </c>
      <c r="I104" s="642">
        <v>3000</v>
      </c>
      <c r="J104" s="642">
        <v>6000</v>
      </c>
      <c r="K104" s="642">
        <v>10000</v>
      </c>
      <c r="L104" s="38">
        <v>14000</v>
      </c>
      <c r="M104" s="38"/>
      <c r="N104" s="111"/>
      <c r="O104" s="67"/>
      <c r="P104" s="112" t="s">
        <v>2452</v>
      </c>
      <c r="Q104" s="112" t="s">
        <v>117</v>
      </c>
      <c r="R104" s="643">
        <v>70</v>
      </c>
      <c r="S104" s="643">
        <v>70</v>
      </c>
      <c r="T104" s="643"/>
      <c r="U104" s="643"/>
      <c r="V104" s="643"/>
      <c r="W104" s="643"/>
      <c r="X104" s="643"/>
      <c r="Y104" s="643"/>
      <c r="Z104" s="643"/>
      <c r="AA104" s="643"/>
      <c r="AB104" s="643"/>
      <c r="AC104" s="643"/>
      <c r="AD104" s="115">
        <v>14000</v>
      </c>
      <c r="AE104" s="115"/>
      <c r="AF104" s="115"/>
      <c r="AG104" s="643"/>
      <c r="AH104" s="115">
        <v>14000</v>
      </c>
      <c r="AI104" s="90"/>
      <c r="AJ104" s="112" t="s">
        <v>1019</v>
      </c>
      <c r="AK104" s="123" t="s">
        <v>766</v>
      </c>
      <c r="AL104" s="129" t="s">
        <v>2427</v>
      </c>
      <c r="AM104" s="67" t="s">
        <v>185</v>
      </c>
      <c r="AN104" s="91"/>
      <c r="AO104" s="162"/>
      <c r="AP104" s="157"/>
      <c r="AQ104" s="161" t="s">
        <v>2051</v>
      </c>
      <c r="AR104" s="161" t="s">
        <v>2061</v>
      </c>
      <c r="AS104" s="158" t="str">
        <f t="shared" si="190"/>
        <v>园区基础设施其他</v>
      </c>
      <c r="AT104" s="158" t="s">
        <v>2018</v>
      </c>
      <c r="AU104" s="158"/>
      <c r="AV104" s="161"/>
      <c r="AW104" s="161"/>
      <c r="AX104" s="160"/>
      <c r="AY104" s="157"/>
      <c r="AZ104" s="157"/>
      <c r="BA104" s="157"/>
      <c r="BB104" s="157"/>
      <c r="BC104" s="157"/>
      <c r="BD104" s="157"/>
      <c r="BE104" s="157"/>
      <c r="BF104" s="157"/>
      <c r="BG104" s="7" t="s">
        <v>205</v>
      </c>
      <c r="BH104" s="7" t="s">
        <v>1980</v>
      </c>
      <c r="BI104" s="204" t="str">
        <f t="shared" si="191"/>
        <v>政府中马钦州产业园区管委</v>
      </c>
      <c r="BJ104" s="204" t="str">
        <f t="shared" si="192"/>
        <v>基础设施中马钦州产业园区管委</v>
      </c>
      <c r="BK104" s="205">
        <f t="shared" si="193"/>
        <v>0</v>
      </c>
      <c r="BL104" s="157" t="str">
        <f t="shared" si="194"/>
        <v>园区基础设施其他1000</v>
      </c>
      <c r="BM104" s="157" t="str">
        <f t="shared" si="195"/>
        <v>园区基础设施其他2000</v>
      </c>
      <c r="BN104" s="157" t="str">
        <f t="shared" si="196"/>
        <v>园区基础设施其他5000</v>
      </c>
      <c r="BO104" s="157">
        <f t="shared" si="197"/>
        <v>1</v>
      </c>
      <c r="BP104" s="157">
        <f t="shared" si="198"/>
        <v>0</v>
      </c>
      <c r="BQ104" s="157">
        <f t="shared" si="199"/>
        <v>0</v>
      </c>
      <c r="BR104" s="157">
        <f t="shared" si="200"/>
        <v>0</v>
      </c>
      <c r="BS104" s="157">
        <f t="shared" si="201"/>
        <v>1</v>
      </c>
      <c r="BT104" s="181"/>
      <c r="BU104" s="206"/>
      <c r="BW104" s="7"/>
      <c r="BX104" s="7"/>
      <c r="BY104" s="7"/>
      <c r="BZ104" s="7"/>
      <c r="CA104" s="7"/>
    </row>
    <row r="105" ht="54" customHeight="1" spans="1:79">
      <c r="A105" s="23">
        <f>SUBTOTAL(3,C$8:C105)</f>
        <v>72</v>
      </c>
      <c r="B105" s="60" t="s">
        <v>1563</v>
      </c>
      <c r="C105" s="35" t="s">
        <v>810</v>
      </c>
      <c r="D105" s="58" t="s">
        <v>1564</v>
      </c>
      <c r="E105" s="23" t="s">
        <v>832</v>
      </c>
      <c r="F105" s="67">
        <v>7000</v>
      </c>
      <c r="G105" s="67">
        <v>5000</v>
      </c>
      <c r="H105" s="81" t="s">
        <v>131</v>
      </c>
      <c r="I105" s="37">
        <v>300</v>
      </c>
      <c r="J105" s="37">
        <v>700</v>
      </c>
      <c r="K105" s="37">
        <v>1500</v>
      </c>
      <c r="L105" s="637">
        <v>2000</v>
      </c>
      <c r="M105" s="637"/>
      <c r="N105" s="36"/>
      <c r="O105" s="36"/>
      <c r="P105" s="112" t="s">
        <v>2688</v>
      </c>
      <c r="Q105" s="112" t="s">
        <v>117</v>
      </c>
      <c r="R105" s="132"/>
      <c r="S105" s="132"/>
      <c r="T105" s="132"/>
      <c r="U105" s="132"/>
      <c r="V105" s="132"/>
      <c r="W105" s="132"/>
      <c r="X105" s="132"/>
      <c r="Y105" s="132"/>
      <c r="Z105" s="132"/>
      <c r="AA105" s="132"/>
      <c r="AB105" s="132"/>
      <c r="AC105" s="132"/>
      <c r="AD105" s="132"/>
      <c r="AE105" s="132"/>
      <c r="AF105" s="132"/>
      <c r="AG105" s="132"/>
      <c r="AH105" s="132"/>
      <c r="AI105" s="90"/>
      <c r="AJ105" s="112" t="s">
        <v>117</v>
      </c>
      <c r="AK105" s="123" t="s">
        <v>807</v>
      </c>
      <c r="AL105" s="67" t="s">
        <v>2416</v>
      </c>
      <c r="AM105" s="35" t="s">
        <v>375</v>
      </c>
      <c r="AN105" s="91"/>
      <c r="AO105" s="162"/>
      <c r="AP105" s="157"/>
      <c r="AQ105" s="161" t="s">
        <v>2051</v>
      </c>
      <c r="AR105" s="161" t="s">
        <v>2061</v>
      </c>
      <c r="AS105" s="158" t="str">
        <f t="shared" si="190"/>
        <v>园区基础设施其他</v>
      </c>
      <c r="AT105" s="158" t="s">
        <v>2018</v>
      </c>
      <c r="AU105" s="158"/>
      <c r="AV105" s="157"/>
      <c r="AW105" s="159"/>
      <c r="AX105" s="160"/>
      <c r="AY105" s="157"/>
      <c r="AZ105" s="157"/>
      <c r="BA105" s="157"/>
      <c r="BB105" s="157"/>
      <c r="BC105" s="157"/>
      <c r="BD105" s="157"/>
      <c r="BE105" s="157"/>
      <c r="BF105" s="157"/>
      <c r="BG105" s="7" t="s">
        <v>205</v>
      </c>
      <c r="BH105" s="7" t="s">
        <v>1980</v>
      </c>
      <c r="BI105" s="204" t="str">
        <f t="shared" si="191"/>
        <v>政府钦北区人民政府</v>
      </c>
      <c r="BJ105" s="204" t="str">
        <f t="shared" si="192"/>
        <v>基础设施钦北区人民政府</v>
      </c>
      <c r="BL105" s="157"/>
      <c r="BM105" s="157"/>
      <c r="BN105" s="157"/>
      <c r="BO105" s="157">
        <f t="shared" si="197"/>
        <v>0</v>
      </c>
      <c r="BP105" s="157">
        <f t="shared" si="198"/>
        <v>0</v>
      </c>
      <c r="BQ105" s="157">
        <f t="shared" si="199"/>
        <v>0</v>
      </c>
      <c r="BR105" s="157">
        <f t="shared" si="200"/>
        <v>0</v>
      </c>
      <c r="BS105" s="157">
        <f t="shared" si="201"/>
        <v>0</v>
      </c>
      <c r="BT105" s="181"/>
      <c r="BU105" s="206"/>
      <c r="BW105" s="7"/>
      <c r="BX105" s="7"/>
      <c r="BY105" s="7"/>
      <c r="BZ105" s="7"/>
      <c r="CA105" s="7"/>
    </row>
    <row r="106" s="9" customFormat="1" ht="30" customHeight="1" spans="1:77">
      <c r="A106" s="551" t="s">
        <v>2099</v>
      </c>
      <c r="B106" s="557" t="str">
        <f>"农林水（"&amp;SUBTOTAL(3,C107:C111)&amp;"个）"</f>
        <v>农林水（5个）</v>
      </c>
      <c r="C106" s="557"/>
      <c r="D106" s="557"/>
      <c r="E106" s="551"/>
      <c r="F106" s="134">
        <f>SUBTOTAL(9,F107:F111)</f>
        <v>21655.02</v>
      </c>
      <c r="G106" s="134">
        <f t="shared" ref="G106:M106" si="204">SUBTOTAL(9,G107:G111)</f>
        <v>6353</v>
      </c>
      <c r="H106" s="134"/>
      <c r="I106" s="134">
        <f t="shared" si="204"/>
        <v>2880</v>
      </c>
      <c r="J106" s="134">
        <f t="shared" si="204"/>
        <v>4920</v>
      </c>
      <c r="K106" s="134">
        <f t="shared" si="204"/>
        <v>6887</v>
      </c>
      <c r="L106" s="134">
        <f t="shared" si="204"/>
        <v>15302</v>
      </c>
      <c r="M106" s="134">
        <f t="shared" si="204"/>
        <v>0</v>
      </c>
      <c r="N106" s="67"/>
      <c r="O106" s="67"/>
      <c r="P106" s="244"/>
      <c r="Q106" s="112"/>
      <c r="R106" s="132"/>
      <c r="S106" s="132"/>
      <c r="T106" s="132"/>
      <c r="U106" s="132"/>
      <c r="V106" s="132"/>
      <c r="W106" s="132"/>
      <c r="X106" s="132"/>
      <c r="Y106" s="132"/>
      <c r="Z106" s="132"/>
      <c r="AA106" s="132"/>
      <c r="AB106" s="132"/>
      <c r="AC106" s="132"/>
      <c r="AD106" s="132"/>
      <c r="AE106" s="132"/>
      <c r="AF106" s="132"/>
      <c r="AG106" s="132"/>
      <c r="AH106" s="132"/>
      <c r="AI106" s="90"/>
      <c r="AJ106" s="112"/>
      <c r="AK106" s="591"/>
      <c r="AL106" s="134"/>
      <c r="AM106" s="134"/>
      <c r="AN106" s="91"/>
      <c r="AO106" s="272"/>
      <c r="AP106" s="165"/>
      <c r="AQ106" s="158"/>
      <c r="AR106" s="158"/>
      <c r="AS106" s="158"/>
      <c r="AT106" s="158"/>
      <c r="AU106" s="158"/>
      <c r="AV106" s="165"/>
      <c r="AW106" s="169"/>
      <c r="AX106" s="165"/>
      <c r="AY106" s="165"/>
      <c r="AZ106" s="165"/>
      <c r="BA106" s="165"/>
      <c r="BB106" s="165"/>
      <c r="BC106" s="169"/>
      <c r="BD106" s="169"/>
      <c r="BE106" s="169"/>
      <c r="BF106" s="165"/>
      <c r="BK106" s="529"/>
      <c r="BL106" s="165"/>
      <c r="BM106" s="165"/>
      <c r="BN106" s="165"/>
      <c r="BO106" s="619"/>
      <c r="BP106" s="619"/>
      <c r="BQ106" s="619"/>
      <c r="BR106" s="619"/>
      <c r="BS106" s="619"/>
      <c r="BY106" s="7"/>
    </row>
    <row r="107" s="6" customFormat="1" ht="86.25" customHeight="1" spans="1:84">
      <c r="A107" s="23">
        <f>SUBTOTAL(3,C$8:C107)</f>
        <v>73</v>
      </c>
      <c r="B107" s="58" t="s">
        <v>1570</v>
      </c>
      <c r="C107" s="23" t="s">
        <v>810</v>
      </c>
      <c r="D107" s="55" t="s">
        <v>1571</v>
      </c>
      <c r="E107" s="23" t="s">
        <v>812</v>
      </c>
      <c r="F107" s="67">
        <v>3000</v>
      </c>
      <c r="G107" s="67">
        <v>1000</v>
      </c>
      <c r="H107" s="36" t="s">
        <v>131</v>
      </c>
      <c r="I107" s="81">
        <v>450</v>
      </c>
      <c r="J107" s="81">
        <v>850</v>
      </c>
      <c r="K107" s="81">
        <v>1500</v>
      </c>
      <c r="L107" s="36">
        <v>2000</v>
      </c>
      <c r="M107" s="36"/>
      <c r="N107" s="36"/>
      <c r="O107" s="36"/>
      <c r="P107" s="112"/>
      <c r="Q107" s="112"/>
      <c r="R107" s="132"/>
      <c r="S107" s="132"/>
      <c r="T107" s="132"/>
      <c r="U107" s="132"/>
      <c r="V107" s="132"/>
      <c r="W107" s="132"/>
      <c r="X107" s="132"/>
      <c r="Y107" s="132"/>
      <c r="Z107" s="132"/>
      <c r="AA107" s="132"/>
      <c r="AB107" s="132"/>
      <c r="AC107" s="132"/>
      <c r="AD107" s="132"/>
      <c r="AE107" s="132"/>
      <c r="AF107" s="132"/>
      <c r="AG107" s="132"/>
      <c r="AH107" s="132"/>
      <c r="AI107" s="90"/>
      <c r="AJ107" s="34" t="s">
        <v>117</v>
      </c>
      <c r="AK107" s="123" t="s">
        <v>807</v>
      </c>
      <c r="AL107" s="35" t="s">
        <v>2058</v>
      </c>
      <c r="AM107" s="35" t="s">
        <v>375</v>
      </c>
      <c r="AN107" s="270"/>
      <c r="AO107" s="162"/>
      <c r="AP107" s="157"/>
      <c r="AQ107" s="158" t="s">
        <v>722</v>
      </c>
      <c r="AR107" s="158" t="s">
        <v>2105</v>
      </c>
      <c r="AS107" s="158" t="str">
        <f t="shared" ref="AS107:AS111" si="205">AR107&amp;AQ107</f>
        <v>农林水农业</v>
      </c>
      <c r="AT107" s="158" t="str">
        <f t="shared" ref="AT107:AT111" si="206">AQ107</f>
        <v>农业</v>
      </c>
      <c r="AU107" s="158"/>
      <c r="AV107" s="157"/>
      <c r="AW107" s="272"/>
      <c r="AX107" s="160"/>
      <c r="AY107" s="157"/>
      <c r="AZ107" s="157"/>
      <c r="BA107" s="157"/>
      <c r="BB107" s="157"/>
      <c r="BC107" s="157"/>
      <c r="BD107" s="157"/>
      <c r="BE107" s="157"/>
      <c r="BF107" s="157"/>
      <c r="BG107" s="7" t="s">
        <v>205</v>
      </c>
      <c r="BH107" s="7" t="s">
        <v>1980</v>
      </c>
      <c r="BI107" s="204" t="str">
        <f t="shared" ref="BI107:BI111" si="207">BG107&amp;AM107</f>
        <v>政府钦北区人民政府</v>
      </c>
      <c r="BJ107" s="204" t="str">
        <f t="shared" ref="BJ107:BJ111" si="208">BH107&amp;AM107</f>
        <v>基础设施钦北区人民政府</v>
      </c>
      <c r="BK107" s="205">
        <f t="shared" ref="BK107:BK111" si="209">IF(N107&gt;0,1,0)</f>
        <v>0</v>
      </c>
      <c r="BL107" s="157" t="str">
        <f t="shared" ref="BL107:BL111" si="210">IF(L107&lt;1000,"",AS107&amp;"1000")</f>
        <v>农林水农业1000</v>
      </c>
      <c r="BM107" s="157" t="str">
        <f t="shared" ref="BM107:BM111" si="211">IF(L107&lt;2000,"",AS107&amp;"2000")</f>
        <v>农林水农业2000</v>
      </c>
      <c r="BN107" s="157" t="str">
        <f t="shared" ref="BN107:BN111" si="212">IF(L107&lt;5000,"",AS107&amp;"5000")</f>
        <v/>
      </c>
      <c r="BO107" s="157">
        <f t="shared" ref="BO107:BO111" si="213">IF(R107&gt;0,1,0)</f>
        <v>0</v>
      </c>
      <c r="BP107" s="157">
        <f t="shared" ref="BP107:BP111" si="214">IF(X107&gt;0,1,0)</f>
        <v>0</v>
      </c>
      <c r="BQ107" s="157">
        <f t="shared" ref="BQ107:BQ111" si="215">IF(U107&gt;0,1,0)</f>
        <v>0</v>
      </c>
      <c r="BR107" s="157">
        <f t="shared" ref="BR107:BR111" si="216">IF(AA107&gt;0,1,0)</f>
        <v>0</v>
      </c>
      <c r="BS107" s="157">
        <f t="shared" ref="BS107:BS111" si="217">IF(AD107&gt;0,1,0)</f>
        <v>0</v>
      </c>
      <c r="BT107" s="157"/>
      <c r="BU107" s="206"/>
      <c r="BV107" s="7"/>
      <c r="BW107" s="206"/>
      <c r="BX107" s="206"/>
      <c r="BY107" s="7"/>
      <c r="BZ107" s="206"/>
      <c r="CA107" s="206"/>
      <c r="CB107" s="7"/>
      <c r="CC107" s="7"/>
      <c r="CD107" s="7"/>
      <c r="CE107" s="7"/>
      <c r="CF107" s="7"/>
    </row>
    <row r="108" s="6" customFormat="1" ht="86.25" customHeight="1" spans="1:84">
      <c r="A108" s="23">
        <f>SUBTOTAL(3,C$8:C108)</f>
        <v>74</v>
      </c>
      <c r="B108" s="58" t="s">
        <v>1099</v>
      </c>
      <c r="C108" s="35" t="s">
        <v>810</v>
      </c>
      <c r="D108" s="60" t="s">
        <v>1100</v>
      </c>
      <c r="E108" s="23" t="s">
        <v>812</v>
      </c>
      <c r="F108" s="67">
        <v>1375</v>
      </c>
      <c r="G108" s="67">
        <v>560</v>
      </c>
      <c r="H108" s="67" t="s">
        <v>82</v>
      </c>
      <c r="I108" s="81">
        <v>100</v>
      </c>
      <c r="J108" s="81">
        <v>300</v>
      </c>
      <c r="K108" s="81">
        <v>600</v>
      </c>
      <c r="L108" s="36">
        <v>815</v>
      </c>
      <c r="M108" s="36"/>
      <c r="N108" s="36"/>
      <c r="O108" s="36"/>
      <c r="P108" s="112"/>
      <c r="Q108" s="112"/>
      <c r="R108" s="132"/>
      <c r="S108" s="132"/>
      <c r="T108" s="132"/>
      <c r="U108" s="132"/>
      <c r="V108" s="132"/>
      <c r="W108" s="132"/>
      <c r="X108" s="132"/>
      <c r="Y108" s="132"/>
      <c r="Z108" s="132"/>
      <c r="AA108" s="132"/>
      <c r="AB108" s="132"/>
      <c r="AC108" s="132"/>
      <c r="AD108" s="132">
        <v>10284</v>
      </c>
      <c r="AE108" s="132"/>
      <c r="AF108" s="132"/>
      <c r="AG108" s="132">
        <v>10284</v>
      </c>
      <c r="AH108" s="132"/>
      <c r="AI108" s="90"/>
      <c r="AJ108" s="34" t="s">
        <v>117</v>
      </c>
      <c r="AK108" s="648" t="s">
        <v>1101</v>
      </c>
      <c r="AL108" s="67" t="s">
        <v>2689</v>
      </c>
      <c r="AM108" s="35" t="s">
        <v>375</v>
      </c>
      <c r="AN108" s="270"/>
      <c r="AO108" s="162"/>
      <c r="AP108" s="157"/>
      <c r="AQ108" s="158" t="s">
        <v>722</v>
      </c>
      <c r="AR108" s="158" t="s">
        <v>2105</v>
      </c>
      <c r="AS108" s="158" t="str">
        <f t="shared" si="205"/>
        <v>农林水农业</v>
      </c>
      <c r="AT108" s="158" t="str">
        <f t="shared" si="206"/>
        <v>农业</v>
      </c>
      <c r="AU108" s="158"/>
      <c r="AV108" s="157"/>
      <c r="AW108" s="272"/>
      <c r="AX108" s="160"/>
      <c r="AY108" s="157"/>
      <c r="AZ108" s="157"/>
      <c r="BA108" s="157"/>
      <c r="BB108" s="157"/>
      <c r="BC108" s="157"/>
      <c r="BD108" s="157"/>
      <c r="BE108" s="157"/>
      <c r="BF108" s="157"/>
      <c r="BG108" s="7" t="s">
        <v>205</v>
      </c>
      <c r="BH108" s="7" t="s">
        <v>1980</v>
      </c>
      <c r="BI108" s="204" t="str">
        <f t="shared" si="207"/>
        <v>政府钦北区人民政府</v>
      </c>
      <c r="BJ108" s="204" t="str">
        <f t="shared" si="208"/>
        <v>基础设施钦北区人民政府</v>
      </c>
      <c r="BK108" s="205">
        <f t="shared" si="209"/>
        <v>0</v>
      </c>
      <c r="BL108" s="157" t="str">
        <f t="shared" si="210"/>
        <v/>
      </c>
      <c r="BM108" s="157" t="str">
        <f t="shared" si="211"/>
        <v/>
      </c>
      <c r="BN108" s="157" t="str">
        <f t="shared" si="212"/>
        <v/>
      </c>
      <c r="BO108" s="157">
        <f t="shared" si="213"/>
        <v>0</v>
      </c>
      <c r="BP108" s="157">
        <f t="shared" si="214"/>
        <v>0</v>
      </c>
      <c r="BQ108" s="157">
        <f t="shared" si="215"/>
        <v>0</v>
      </c>
      <c r="BR108" s="157">
        <f t="shared" si="216"/>
        <v>0</v>
      </c>
      <c r="BS108" s="157">
        <f t="shared" si="217"/>
        <v>1</v>
      </c>
      <c r="BT108" s="157"/>
      <c r="BU108" s="206"/>
      <c r="BV108" s="7"/>
      <c r="BW108" s="206"/>
      <c r="BX108" s="206"/>
      <c r="BY108" s="7"/>
      <c r="BZ108" s="206"/>
      <c r="CA108" s="206"/>
      <c r="CB108" s="7"/>
      <c r="CC108" s="7"/>
      <c r="CD108" s="7"/>
      <c r="CE108" s="7"/>
      <c r="CF108" s="7"/>
    </row>
    <row r="109" s="6" customFormat="1" ht="86.25" customHeight="1" spans="1:84">
      <c r="A109" s="23">
        <f>SUBTOTAL(3,C$8:C109)</f>
        <v>75</v>
      </c>
      <c r="B109" s="235" t="s">
        <v>1572</v>
      </c>
      <c r="C109" s="59" t="s">
        <v>810</v>
      </c>
      <c r="D109" s="34" t="s">
        <v>2690</v>
      </c>
      <c r="E109" s="23" t="s">
        <v>812</v>
      </c>
      <c r="F109" s="67">
        <v>1374.07</v>
      </c>
      <c r="G109" s="67">
        <v>210</v>
      </c>
      <c r="H109" s="36" t="s">
        <v>131</v>
      </c>
      <c r="I109" s="81">
        <v>150</v>
      </c>
      <c r="J109" s="81">
        <v>350</v>
      </c>
      <c r="K109" s="81">
        <v>800</v>
      </c>
      <c r="L109" s="36">
        <v>1164</v>
      </c>
      <c r="M109" s="36"/>
      <c r="N109" s="36"/>
      <c r="O109" s="36"/>
      <c r="P109" s="112"/>
      <c r="Q109" s="112"/>
      <c r="R109" s="132"/>
      <c r="S109" s="132"/>
      <c r="T109" s="132"/>
      <c r="U109" s="132"/>
      <c r="V109" s="132"/>
      <c r="W109" s="132"/>
      <c r="X109" s="132"/>
      <c r="Y109" s="132"/>
      <c r="Z109" s="132"/>
      <c r="AA109" s="132"/>
      <c r="AB109" s="132"/>
      <c r="AC109" s="132"/>
      <c r="AD109" s="132"/>
      <c r="AE109" s="132"/>
      <c r="AF109" s="132"/>
      <c r="AG109" s="132"/>
      <c r="AH109" s="132"/>
      <c r="AI109" s="90"/>
      <c r="AJ109" s="34" t="s">
        <v>117</v>
      </c>
      <c r="AK109" s="86" t="s">
        <v>1574</v>
      </c>
      <c r="AL109" s="87" t="s">
        <v>2691</v>
      </c>
      <c r="AM109" s="35" t="s">
        <v>375</v>
      </c>
      <c r="AN109" s="270"/>
      <c r="AO109" s="162"/>
      <c r="AP109" s="157"/>
      <c r="AQ109" s="158" t="s">
        <v>2104</v>
      </c>
      <c r="AR109" s="158" t="s">
        <v>2105</v>
      </c>
      <c r="AS109" s="158" t="str">
        <f t="shared" si="205"/>
        <v>农林水水利</v>
      </c>
      <c r="AT109" s="158" t="str">
        <f t="shared" si="206"/>
        <v>水利</v>
      </c>
      <c r="AU109" s="158"/>
      <c r="AV109" s="157"/>
      <c r="AW109" s="272"/>
      <c r="AX109" s="160"/>
      <c r="AY109" s="157"/>
      <c r="AZ109" s="157"/>
      <c r="BA109" s="157"/>
      <c r="BB109" s="157"/>
      <c r="BC109" s="157"/>
      <c r="BD109" s="157"/>
      <c r="BE109" s="157"/>
      <c r="BF109" s="157"/>
      <c r="BG109" s="7" t="s">
        <v>205</v>
      </c>
      <c r="BH109" s="7" t="s">
        <v>1980</v>
      </c>
      <c r="BI109" s="204" t="str">
        <f t="shared" si="207"/>
        <v>政府钦北区人民政府</v>
      </c>
      <c r="BJ109" s="204" t="str">
        <f t="shared" si="208"/>
        <v>基础设施钦北区人民政府</v>
      </c>
      <c r="BK109" s="205">
        <f t="shared" si="209"/>
        <v>0</v>
      </c>
      <c r="BL109" s="157" t="str">
        <f t="shared" si="210"/>
        <v>农林水水利1000</v>
      </c>
      <c r="BM109" s="157" t="str">
        <f t="shared" si="211"/>
        <v/>
      </c>
      <c r="BN109" s="157" t="str">
        <f t="shared" si="212"/>
        <v/>
      </c>
      <c r="BO109" s="157">
        <f t="shared" si="213"/>
        <v>0</v>
      </c>
      <c r="BP109" s="157">
        <f t="shared" si="214"/>
        <v>0</v>
      </c>
      <c r="BQ109" s="157">
        <f t="shared" si="215"/>
        <v>0</v>
      </c>
      <c r="BR109" s="157">
        <f t="shared" si="216"/>
        <v>0</v>
      </c>
      <c r="BS109" s="157">
        <f t="shared" si="217"/>
        <v>0</v>
      </c>
      <c r="BT109" s="157"/>
      <c r="BU109" s="206"/>
      <c r="BV109" s="7"/>
      <c r="BW109" s="206"/>
      <c r="BX109" s="206"/>
      <c r="BY109" s="7"/>
      <c r="BZ109" s="206"/>
      <c r="CA109" s="206"/>
      <c r="CB109" s="7"/>
      <c r="CC109" s="7"/>
      <c r="CD109" s="7"/>
      <c r="CE109" s="7"/>
      <c r="CF109" s="7"/>
    </row>
    <row r="110" s="6" customFormat="1" ht="86.25" customHeight="1" spans="1:84">
      <c r="A110" s="23">
        <f>SUBTOTAL(3,C$8:C110)</f>
        <v>76</v>
      </c>
      <c r="B110" s="235" t="s">
        <v>1575</v>
      </c>
      <c r="C110" s="59" t="s">
        <v>810</v>
      </c>
      <c r="D110" s="34" t="s">
        <v>2692</v>
      </c>
      <c r="E110" s="23" t="s">
        <v>812</v>
      </c>
      <c r="F110" s="67">
        <v>1101.95</v>
      </c>
      <c r="G110" s="67">
        <v>63</v>
      </c>
      <c r="H110" s="36" t="s">
        <v>131</v>
      </c>
      <c r="I110" s="81">
        <v>180</v>
      </c>
      <c r="J110" s="81">
        <v>420</v>
      </c>
      <c r="K110" s="81">
        <v>760</v>
      </c>
      <c r="L110" s="36">
        <v>1039</v>
      </c>
      <c r="M110" s="36"/>
      <c r="N110" s="36"/>
      <c r="O110" s="36"/>
      <c r="P110" s="112"/>
      <c r="Q110" s="112"/>
      <c r="R110" s="132"/>
      <c r="S110" s="132"/>
      <c r="T110" s="132"/>
      <c r="U110" s="132"/>
      <c r="V110" s="132"/>
      <c r="W110" s="132"/>
      <c r="X110" s="132"/>
      <c r="Y110" s="132"/>
      <c r="Z110" s="132"/>
      <c r="AA110" s="132"/>
      <c r="AB110" s="132"/>
      <c r="AC110" s="132"/>
      <c r="AD110" s="132"/>
      <c r="AE110" s="132"/>
      <c r="AF110" s="132"/>
      <c r="AG110" s="132"/>
      <c r="AH110" s="132"/>
      <c r="AI110" s="90"/>
      <c r="AJ110" s="34" t="s">
        <v>117</v>
      </c>
      <c r="AK110" s="86" t="s">
        <v>1574</v>
      </c>
      <c r="AL110" s="87" t="s">
        <v>2691</v>
      </c>
      <c r="AM110" s="35" t="s">
        <v>375</v>
      </c>
      <c r="AN110" s="270"/>
      <c r="AO110" s="162"/>
      <c r="AP110" s="157"/>
      <c r="AQ110" s="158" t="s">
        <v>2104</v>
      </c>
      <c r="AR110" s="158" t="s">
        <v>2105</v>
      </c>
      <c r="AS110" s="158" t="str">
        <f t="shared" si="205"/>
        <v>农林水水利</v>
      </c>
      <c r="AT110" s="158" t="str">
        <f t="shared" si="206"/>
        <v>水利</v>
      </c>
      <c r="AU110" s="158"/>
      <c r="AV110" s="157"/>
      <c r="AW110" s="272"/>
      <c r="AX110" s="160"/>
      <c r="AY110" s="157"/>
      <c r="AZ110" s="157"/>
      <c r="BA110" s="157"/>
      <c r="BB110" s="157"/>
      <c r="BC110" s="157"/>
      <c r="BD110" s="157"/>
      <c r="BE110" s="157"/>
      <c r="BF110" s="157"/>
      <c r="BG110" s="7" t="s">
        <v>205</v>
      </c>
      <c r="BH110" s="7" t="s">
        <v>1980</v>
      </c>
      <c r="BI110" s="204" t="str">
        <f t="shared" si="207"/>
        <v>政府钦北区人民政府</v>
      </c>
      <c r="BJ110" s="204" t="str">
        <f t="shared" si="208"/>
        <v>基础设施钦北区人民政府</v>
      </c>
      <c r="BK110" s="205">
        <f t="shared" si="209"/>
        <v>0</v>
      </c>
      <c r="BL110" s="157" t="str">
        <f t="shared" si="210"/>
        <v>农林水水利1000</v>
      </c>
      <c r="BM110" s="157" t="str">
        <f t="shared" si="211"/>
        <v/>
      </c>
      <c r="BN110" s="157" t="str">
        <f t="shared" si="212"/>
        <v/>
      </c>
      <c r="BO110" s="157">
        <f t="shared" si="213"/>
        <v>0</v>
      </c>
      <c r="BP110" s="157">
        <f t="shared" si="214"/>
        <v>0</v>
      </c>
      <c r="BQ110" s="157">
        <f t="shared" si="215"/>
        <v>0</v>
      </c>
      <c r="BR110" s="157">
        <f t="shared" si="216"/>
        <v>0</v>
      </c>
      <c r="BS110" s="157">
        <f t="shared" si="217"/>
        <v>0</v>
      </c>
      <c r="BT110" s="157"/>
      <c r="BU110" s="206"/>
      <c r="BV110" s="7"/>
      <c r="BW110" s="206"/>
      <c r="BX110" s="206"/>
      <c r="BY110" s="7"/>
      <c r="BZ110" s="206"/>
      <c r="CA110" s="206"/>
      <c r="CB110" s="7"/>
      <c r="CC110" s="7"/>
      <c r="CD110" s="7"/>
      <c r="CE110" s="7"/>
      <c r="CF110" s="7"/>
    </row>
    <row r="111" s="6" customFormat="1" ht="86.25" customHeight="1" spans="1:84">
      <c r="A111" s="23">
        <f>SUBTOTAL(3,C$8:C111)</f>
        <v>77</v>
      </c>
      <c r="B111" s="55" t="s">
        <v>1521</v>
      </c>
      <c r="C111" s="35" t="s">
        <v>810</v>
      </c>
      <c r="D111" s="34" t="s">
        <v>1522</v>
      </c>
      <c r="E111" s="23" t="s">
        <v>812</v>
      </c>
      <c r="F111" s="127">
        <v>14804</v>
      </c>
      <c r="G111" s="67">
        <v>4520</v>
      </c>
      <c r="H111" s="81" t="s">
        <v>113</v>
      </c>
      <c r="I111" s="37">
        <v>2000</v>
      </c>
      <c r="J111" s="37">
        <v>3000</v>
      </c>
      <c r="K111" s="37">
        <v>3227</v>
      </c>
      <c r="L111" s="36">
        <v>10284</v>
      </c>
      <c r="M111" s="36"/>
      <c r="N111" s="36"/>
      <c r="O111" s="36"/>
      <c r="P111" s="112" t="s">
        <v>2693</v>
      </c>
      <c r="Q111" s="112" t="s">
        <v>2694</v>
      </c>
      <c r="R111" s="132"/>
      <c r="S111" s="132"/>
      <c r="T111" s="132"/>
      <c r="U111" s="132"/>
      <c r="V111" s="132"/>
      <c r="W111" s="132"/>
      <c r="X111" s="132"/>
      <c r="Y111" s="132"/>
      <c r="Z111" s="132"/>
      <c r="AA111" s="132"/>
      <c r="AB111" s="132"/>
      <c r="AC111" s="132"/>
      <c r="AD111" s="132">
        <v>10284</v>
      </c>
      <c r="AE111" s="132"/>
      <c r="AF111" s="132"/>
      <c r="AG111" s="132">
        <v>10284</v>
      </c>
      <c r="AH111" s="132"/>
      <c r="AI111" s="90"/>
      <c r="AJ111" s="34" t="s">
        <v>117</v>
      </c>
      <c r="AK111" s="131" t="s">
        <v>2695</v>
      </c>
      <c r="AL111" s="67" t="s">
        <v>2696</v>
      </c>
      <c r="AM111" s="35" t="s">
        <v>317</v>
      </c>
      <c r="AN111" s="270"/>
      <c r="AO111" s="162"/>
      <c r="AP111" s="157"/>
      <c r="AQ111" s="158" t="s">
        <v>2104</v>
      </c>
      <c r="AR111" s="158" t="s">
        <v>2105</v>
      </c>
      <c r="AS111" s="158" t="str">
        <f t="shared" si="205"/>
        <v>农林水水利</v>
      </c>
      <c r="AT111" s="158" t="str">
        <f t="shared" si="206"/>
        <v>水利</v>
      </c>
      <c r="AU111" s="158"/>
      <c r="AV111" s="157"/>
      <c r="AW111" s="272"/>
      <c r="AX111" s="160"/>
      <c r="AY111" s="157"/>
      <c r="AZ111" s="157"/>
      <c r="BA111" s="157"/>
      <c r="BB111" s="157"/>
      <c r="BC111" s="157"/>
      <c r="BD111" s="157"/>
      <c r="BE111" s="157"/>
      <c r="BF111" s="157"/>
      <c r="BG111" s="7" t="s">
        <v>205</v>
      </c>
      <c r="BH111" s="7" t="s">
        <v>1980</v>
      </c>
      <c r="BI111" s="204" t="str">
        <f t="shared" si="207"/>
        <v>政府浦北县人民政府</v>
      </c>
      <c r="BJ111" s="204" t="str">
        <f t="shared" si="208"/>
        <v>基础设施浦北县人民政府</v>
      </c>
      <c r="BK111" s="205">
        <f t="shared" si="209"/>
        <v>0</v>
      </c>
      <c r="BL111" s="157" t="str">
        <f t="shared" si="210"/>
        <v>农林水水利1000</v>
      </c>
      <c r="BM111" s="157" t="str">
        <f t="shared" si="211"/>
        <v>农林水水利2000</v>
      </c>
      <c r="BN111" s="157" t="str">
        <f t="shared" si="212"/>
        <v>农林水水利5000</v>
      </c>
      <c r="BO111" s="157">
        <f t="shared" si="213"/>
        <v>0</v>
      </c>
      <c r="BP111" s="157">
        <f t="shared" si="214"/>
        <v>0</v>
      </c>
      <c r="BQ111" s="157">
        <f t="shared" si="215"/>
        <v>0</v>
      </c>
      <c r="BR111" s="157">
        <f t="shared" si="216"/>
        <v>0</v>
      </c>
      <c r="BS111" s="157">
        <f t="shared" si="217"/>
        <v>1</v>
      </c>
      <c r="BT111" s="157"/>
      <c r="BU111" s="206"/>
      <c r="BV111" s="7"/>
      <c r="BW111" s="206"/>
      <c r="BX111" s="206"/>
      <c r="BY111" s="7"/>
      <c r="BZ111" s="206"/>
      <c r="CA111" s="206"/>
      <c r="CB111" s="7"/>
      <c r="CC111" s="7"/>
      <c r="CD111" s="7"/>
      <c r="CE111" s="7"/>
      <c r="CF111" s="7"/>
    </row>
    <row r="112" s="9" customFormat="1" ht="30" customHeight="1" spans="1:77">
      <c r="A112" s="551" t="s">
        <v>2108</v>
      </c>
      <c r="B112" s="557" t="str">
        <f>"服务业（"&amp;SUBTOTAL(3,C117:C122)&amp;"个）"</f>
        <v>服务业（4个）</v>
      </c>
      <c r="C112" s="557"/>
      <c r="D112" s="557"/>
      <c r="E112" s="551"/>
      <c r="F112" s="134">
        <f t="shared" ref="F112:M112" si="218">F113+F118+F120</f>
        <v>70194</v>
      </c>
      <c r="G112" s="134">
        <f t="shared" si="218"/>
        <v>23973</v>
      </c>
      <c r="H112" s="134"/>
      <c r="I112" s="134">
        <f t="shared" si="218"/>
        <v>15670</v>
      </c>
      <c r="J112" s="134">
        <f t="shared" si="218"/>
        <v>27470</v>
      </c>
      <c r="K112" s="134">
        <f t="shared" si="218"/>
        <v>38270</v>
      </c>
      <c r="L112" s="134">
        <f t="shared" si="218"/>
        <v>46221</v>
      </c>
      <c r="M112" s="134">
        <f t="shared" si="218"/>
        <v>3900</v>
      </c>
      <c r="N112" s="67"/>
      <c r="O112" s="67"/>
      <c r="P112" s="244"/>
      <c r="Q112" s="112"/>
      <c r="R112" s="132"/>
      <c r="S112" s="132"/>
      <c r="T112" s="132"/>
      <c r="U112" s="132"/>
      <c r="V112" s="132"/>
      <c r="W112" s="132"/>
      <c r="X112" s="132"/>
      <c r="Y112" s="132"/>
      <c r="Z112" s="132"/>
      <c r="AA112" s="132"/>
      <c r="AB112" s="132"/>
      <c r="AC112" s="132"/>
      <c r="AD112" s="132"/>
      <c r="AE112" s="132"/>
      <c r="AF112" s="132"/>
      <c r="AG112" s="132"/>
      <c r="AH112" s="132"/>
      <c r="AI112" s="90"/>
      <c r="AJ112" s="112"/>
      <c r="AK112" s="591"/>
      <c r="AL112" s="134"/>
      <c r="AM112" s="134"/>
      <c r="AN112" s="91"/>
      <c r="AO112" s="272"/>
      <c r="AP112" s="165"/>
      <c r="AQ112" s="158"/>
      <c r="AR112" s="158"/>
      <c r="AS112" s="158"/>
      <c r="AT112" s="158"/>
      <c r="AU112" s="158"/>
      <c r="AV112" s="165"/>
      <c r="AW112" s="169"/>
      <c r="AX112" s="165"/>
      <c r="AY112" s="165"/>
      <c r="AZ112" s="165"/>
      <c r="BA112" s="165"/>
      <c r="BB112" s="165"/>
      <c r="BC112" s="169"/>
      <c r="BD112" s="169"/>
      <c r="BE112" s="169"/>
      <c r="BF112" s="165"/>
      <c r="BK112" s="529"/>
      <c r="BL112" s="165"/>
      <c r="BM112" s="165"/>
      <c r="BN112" s="165"/>
      <c r="BO112" s="619"/>
      <c r="BP112" s="619"/>
      <c r="BQ112" s="619"/>
      <c r="BR112" s="619"/>
      <c r="BS112" s="619"/>
      <c r="BY112" s="7"/>
    </row>
    <row r="113" s="9" customFormat="1" ht="30" customHeight="1" spans="1:77">
      <c r="A113" s="551"/>
      <c r="B113" s="557" t="str">
        <f>"商贸流通（"&amp;SUBTOTAL(3,C114:C117)&amp;"个）"</f>
        <v>商贸流通（4个）</v>
      </c>
      <c r="C113" s="551"/>
      <c r="D113" s="555"/>
      <c r="E113" s="551"/>
      <c r="F113" s="134">
        <f t="shared" ref="F113:M113" si="219">SUBTOTAL(9,F114:F117)</f>
        <v>26470</v>
      </c>
      <c r="G113" s="134">
        <f t="shared" si="219"/>
        <v>9900</v>
      </c>
      <c r="H113" s="134"/>
      <c r="I113" s="134">
        <f t="shared" si="219"/>
        <v>8650</v>
      </c>
      <c r="J113" s="134">
        <f t="shared" si="219"/>
        <v>11870</v>
      </c>
      <c r="K113" s="134">
        <f t="shared" si="219"/>
        <v>14570</v>
      </c>
      <c r="L113" s="134">
        <f t="shared" si="219"/>
        <v>16570</v>
      </c>
      <c r="M113" s="134">
        <f t="shared" si="219"/>
        <v>3300</v>
      </c>
      <c r="N113" s="134"/>
      <c r="O113" s="134"/>
      <c r="P113" s="244"/>
      <c r="Q113" s="112"/>
      <c r="R113" s="132"/>
      <c r="S113" s="132"/>
      <c r="T113" s="132"/>
      <c r="U113" s="132"/>
      <c r="V113" s="132"/>
      <c r="W113" s="132"/>
      <c r="X113" s="132"/>
      <c r="Y113" s="132"/>
      <c r="Z113" s="132"/>
      <c r="AA113" s="132"/>
      <c r="AB113" s="132"/>
      <c r="AC113" s="132"/>
      <c r="AD113" s="132"/>
      <c r="AE113" s="132"/>
      <c r="AF113" s="132"/>
      <c r="AG113" s="132"/>
      <c r="AH113" s="132"/>
      <c r="AI113" s="90"/>
      <c r="AJ113" s="112"/>
      <c r="AK113" s="591"/>
      <c r="AL113" s="134"/>
      <c r="AM113" s="134"/>
      <c r="AN113" s="91"/>
      <c r="AO113" s="272"/>
      <c r="AP113" s="165"/>
      <c r="AQ113" s="158"/>
      <c r="AR113" s="161"/>
      <c r="AS113" s="158"/>
      <c r="AT113" s="158"/>
      <c r="AU113" s="158"/>
      <c r="AV113" s="165"/>
      <c r="AW113" s="169"/>
      <c r="AX113" s="165"/>
      <c r="AY113" s="165"/>
      <c r="AZ113" s="165"/>
      <c r="BA113" s="165"/>
      <c r="BB113" s="165"/>
      <c r="BC113" s="169"/>
      <c r="BD113" s="169"/>
      <c r="BE113" s="169"/>
      <c r="BF113" s="165"/>
      <c r="BK113" s="529"/>
      <c r="BL113" s="165"/>
      <c r="BM113" s="165"/>
      <c r="BN113" s="165"/>
      <c r="BO113" s="165"/>
      <c r="BP113" s="165"/>
      <c r="BQ113" s="165"/>
      <c r="BR113" s="165"/>
      <c r="BS113" s="165"/>
      <c r="BT113" s="183"/>
      <c r="BY113" s="7"/>
    </row>
    <row r="114" ht="63.75" customHeight="1" spans="1:79">
      <c r="A114" s="23">
        <f>SUBTOTAL(3,C$8:C114)</f>
        <v>78</v>
      </c>
      <c r="B114" s="55" t="s">
        <v>925</v>
      </c>
      <c r="C114" s="558" t="s">
        <v>810</v>
      </c>
      <c r="D114" s="634" t="s">
        <v>926</v>
      </c>
      <c r="E114" s="35" t="s">
        <v>812</v>
      </c>
      <c r="F114" s="38">
        <v>9000</v>
      </c>
      <c r="G114" s="67">
        <v>2000</v>
      </c>
      <c r="H114" s="81" t="s">
        <v>103</v>
      </c>
      <c r="I114" s="37">
        <v>3000</v>
      </c>
      <c r="J114" s="37">
        <v>4500</v>
      </c>
      <c r="K114" s="37">
        <v>6000</v>
      </c>
      <c r="L114" s="67">
        <v>7000</v>
      </c>
      <c r="M114" s="67">
        <v>1000</v>
      </c>
      <c r="N114" s="640"/>
      <c r="O114" s="36"/>
      <c r="P114" s="112"/>
      <c r="Q114" s="112"/>
      <c r="R114" s="132"/>
      <c r="S114" s="132"/>
      <c r="T114" s="132"/>
      <c r="U114" s="132"/>
      <c r="V114" s="132"/>
      <c r="W114" s="132"/>
      <c r="X114" s="132"/>
      <c r="Y114" s="132"/>
      <c r="Z114" s="132"/>
      <c r="AA114" s="132"/>
      <c r="AB114" s="132"/>
      <c r="AC114" s="132"/>
      <c r="AD114" s="132"/>
      <c r="AE114" s="132"/>
      <c r="AF114" s="132"/>
      <c r="AG114" s="649">
        <v>7000</v>
      </c>
      <c r="AH114" s="132"/>
      <c r="AI114" s="90"/>
      <c r="AJ114" s="112" t="s">
        <v>117</v>
      </c>
      <c r="AK114" s="34" t="s">
        <v>928</v>
      </c>
      <c r="AL114" s="35" t="s">
        <v>2697</v>
      </c>
      <c r="AM114" s="67" t="s">
        <v>166</v>
      </c>
      <c r="AN114" s="91"/>
      <c r="AO114" s="162"/>
      <c r="AP114" s="157"/>
      <c r="AQ114" s="158" t="s">
        <v>2110</v>
      </c>
      <c r="AR114" s="158" t="s">
        <v>459</v>
      </c>
      <c r="AS114" s="158" t="str">
        <f t="shared" ref="AS114:AS117" si="220">AR114&amp;AQ114</f>
        <v>服务业商贸流通</v>
      </c>
      <c r="AT114" s="158" t="str">
        <f t="shared" ref="AT114:AT117" si="221">AQ114</f>
        <v>商贸流通</v>
      </c>
      <c r="AU114" s="158"/>
      <c r="AV114" s="157"/>
      <c r="AW114" s="159"/>
      <c r="AX114" s="160"/>
      <c r="AY114" s="157"/>
      <c r="AZ114" s="157"/>
      <c r="BA114" s="157"/>
      <c r="BB114" s="157"/>
      <c r="BC114" s="157"/>
      <c r="BD114" s="157"/>
      <c r="BE114" s="157"/>
      <c r="BF114" s="157"/>
      <c r="BG114" s="7" t="s">
        <v>92</v>
      </c>
      <c r="BH114" s="7" t="s">
        <v>93</v>
      </c>
      <c r="BI114" s="204" t="str">
        <f t="shared" ref="BI114:BI117" si="222">BG114&amp;AM114</f>
        <v>企业钦州保税港区管委</v>
      </c>
      <c r="BJ114" s="204" t="str">
        <f t="shared" ref="BJ114:BJ117" si="223">BH114&amp;AM114</f>
        <v>产业钦州保税港区管委</v>
      </c>
      <c r="BK114" s="205">
        <f t="shared" ref="BK114:BK117" si="224">IF(N114&gt;0,1,0)</f>
        <v>0</v>
      </c>
      <c r="BL114" s="157" t="str">
        <f t="shared" ref="BL114:BL117" si="225">IF(L114&lt;1000,"",AS114&amp;"1000")</f>
        <v>服务业商贸流通1000</v>
      </c>
      <c r="BM114" s="157" t="str">
        <f t="shared" ref="BM114:BM117" si="226">IF(L114&lt;2000,"",AS114&amp;"2000")</f>
        <v>服务业商贸流通2000</v>
      </c>
      <c r="BN114" s="157" t="str">
        <f t="shared" ref="BN114:BN117" si="227">IF(L114&lt;5000,"",AS114&amp;"5000")</f>
        <v>服务业商贸流通5000</v>
      </c>
      <c r="BO114" s="157">
        <f t="shared" ref="BO114:BO117" si="228">IF(R114&gt;0,1,0)</f>
        <v>0</v>
      </c>
      <c r="BP114" s="157">
        <f t="shared" ref="BP114:BP117" si="229">IF(X114&gt;0,1,0)</f>
        <v>0</v>
      </c>
      <c r="BQ114" s="157">
        <f t="shared" ref="BQ114:BQ117" si="230">IF(U114&gt;0,1,0)</f>
        <v>0</v>
      </c>
      <c r="BR114" s="157">
        <f t="shared" ref="BR114:BR117" si="231">IF(AA114&gt;0,1,0)</f>
        <v>0</v>
      </c>
      <c r="BS114" s="157">
        <f t="shared" ref="BS114:BS117" si="232">IF(AD114&gt;0,1,0)</f>
        <v>0</v>
      </c>
      <c r="BT114" s="181"/>
      <c r="BU114" s="206"/>
      <c r="BW114" s="7"/>
      <c r="BX114" s="7"/>
      <c r="BY114" s="7"/>
      <c r="BZ114" s="7"/>
      <c r="CA114" s="7"/>
    </row>
    <row r="115" ht="63.75" customHeight="1" spans="1:79">
      <c r="A115" s="23">
        <f>SUBTOTAL(3,C$8:C115)</f>
        <v>79</v>
      </c>
      <c r="B115" s="24" t="s">
        <v>929</v>
      </c>
      <c r="C115" s="558" t="s">
        <v>810</v>
      </c>
      <c r="D115" s="635" t="s">
        <v>930</v>
      </c>
      <c r="E115" s="25">
        <v>2019</v>
      </c>
      <c r="F115" s="57">
        <v>4000</v>
      </c>
      <c r="G115" s="36"/>
      <c r="H115" s="81" t="s">
        <v>103</v>
      </c>
      <c r="I115" s="67">
        <v>500</v>
      </c>
      <c r="J115" s="67">
        <v>2000</v>
      </c>
      <c r="K115" s="67">
        <v>3000</v>
      </c>
      <c r="L115" s="57">
        <v>4000</v>
      </c>
      <c r="M115" s="57">
        <v>1000</v>
      </c>
      <c r="N115" s="640"/>
      <c r="O115" s="36"/>
      <c r="P115" s="112"/>
      <c r="Q115" s="112"/>
      <c r="R115" s="132"/>
      <c r="S115" s="132"/>
      <c r="T115" s="132"/>
      <c r="U115" s="132"/>
      <c r="V115" s="132"/>
      <c r="W115" s="132"/>
      <c r="X115" s="132"/>
      <c r="Y115" s="132"/>
      <c r="Z115" s="132"/>
      <c r="AA115" s="132"/>
      <c r="AB115" s="132"/>
      <c r="AC115" s="132"/>
      <c r="AD115" s="132"/>
      <c r="AE115" s="132"/>
      <c r="AF115" s="132"/>
      <c r="AG115" s="649">
        <v>4000</v>
      </c>
      <c r="AH115" s="649"/>
      <c r="AI115" s="90"/>
      <c r="AJ115" s="650" t="s">
        <v>2698</v>
      </c>
      <c r="AK115" s="24" t="s">
        <v>932</v>
      </c>
      <c r="AL115" s="25" t="s">
        <v>2699</v>
      </c>
      <c r="AM115" s="67" t="s">
        <v>166</v>
      </c>
      <c r="AN115" s="91"/>
      <c r="AO115" s="162"/>
      <c r="AP115" s="157"/>
      <c r="AQ115" s="158" t="s">
        <v>2110</v>
      </c>
      <c r="AR115" s="158" t="s">
        <v>459</v>
      </c>
      <c r="AS115" s="158" t="str">
        <f t="shared" si="220"/>
        <v>服务业商贸流通</v>
      </c>
      <c r="AT115" s="158" t="str">
        <f t="shared" si="221"/>
        <v>商贸流通</v>
      </c>
      <c r="AU115" s="158"/>
      <c r="AV115" s="157"/>
      <c r="AW115" s="159"/>
      <c r="AX115" s="160"/>
      <c r="AY115" s="157"/>
      <c r="AZ115" s="157"/>
      <c r="BA115" s="157"/>
      <c r="BB115" s="157"/>
      <c r="BC115" s="157"/>
      <c r="BD115" s="157"/>
      <c r="BE115" s="157"/>
      <c r="BF115" s="157"/>
      <c r="BG115" s="7" t="s">
        <v>92</v>
      </c>
      <c r="BH115" s="7" t="s">
        <v>93</v>
      </c>
      <c r="BI115" s="204" t="str">
        <f t="shared" si="222"/>
        <v>企业钦州保税港区管委</v>
      </c>
      <c r="BJ115" s="204" t="str">
        <f t="shared" si="223"/>
        <v>产业钦州保税港区管委</v>
      </c>
      <c r="BK115" s="205">
        <f t="shared" si="224"/>
        <v>0</v>
      </c>
      <c r="BL115" s="157" t="str">
        <f t="shared" si="225"/>
        <v>服务业商贸流通1000</v>
      </c>
      <c r="BM115" s="157" t="str">
        <f t="shared" si="226"/>
        <v>服务业商贸流通2000</v>
      </c>
      <c r="BN115" s="157" t="str">
        <f t="shared" si="227"/>
        <v/>
      </c>
      <c r="BO115" s="157">
        <f t="shared" si="228"/>
        <v>0</v>
      </c>
      <c r="BP115" s="157">
        <f t="shared" si="229"/>
        <v>0</v>
      </c>
      <c r="BQ115" s="157">
        <f t="shared" si="230"/>
        <v>0</v>
      </c>
      <c r="BR115" s="157">
        <f t="shared" si="231"/>
        <v>0</v>
      </c>
      <c r="BS115" s="157">
        <f t="shared" si="232"/>
        <v>0</v>
      </c>
      <c r="BT115" s="181"/>
      <c r="BU115" s="206"/>
      <c r="BW115" s="7"/>
      <c r="BX115" s="7"/>
      <c r="BY115" s="7"/>
      <c r="BZ115" s="7"/>
      <c r="CA115" s="7"/>
    </row>
    <row r="116" ht="63.75" customHeight="1" spans="1:79">
      <c r="A116" s="23">
        <f>SUBTOTAL(3,C$8:C116)</f>
        <v>80</v>
      </c>
      <c r="B116" s="55" t="s">
        <v>933</v>
      </c>
      <c r="C116" s="35" t="s">
        <v>810</v>
      </c>
      <c r="D116" s="34" t="s">
        <v>934</v>
      </c>
      <c r="E116" s="35" t="s">
        <v>812</v>
      </c>
      <c r="F116" s="36">
        <v>5170</v>
      </c>
      <c r="G116" s="36">
        <v>4400</v>
      </c>
      <c r="H116" s="81" t="s">
        <v>82</v>
      </c>
      <c r="I116" s="37">
        <v>350</v>
      </c>
      <c r="J116" s="37">
        <v>570</v>
      </c>
      <c r="K116" s="37">
        <v>770</v>
      </c>
      <c r="L116" s="36">
        <v>770</v>
      </c>
      <c r="M116" s="36"/>
      <c r="N116" s="640"/>
      <c r="O116" s="36"/>
      <c r="P116" s="112"/>
      <c r="Q116" s="112"/>
      <c r="R116" s="132">
        <v>50</v>
      </c>
      <c r="S116" s="132">
        <v>50</v>
      </c>
      <c r="T116" s="132"/>
      <c r="U116" s="132"/>
      <c r="V116" s="132"/>
      <c r="W116" s="132"/>
      <c r="X116" s="132"/>
      <c r="Y116" s="132"/>
      <c r="Z116" s="132"/>
      <c r="AA116" s="132">
        <v>10</v>
      </c>
      <c r="AB116" s="132"/>
      <c r="AC116" s="132">
        <v>10</v>
      </c>
      <c r="AD116" s="132">
        <v>4800</v>
      </c>
      <c r="AE116" s="132"/>
      <c r="AF116" s="132"/>
      <c r="AG116" s="132">
        <v>4800</v>
      </c>
      <c r="AH116" s="132"/>
      <c r="AI116" s="90"/>
      <c r="AJ116" s="112" t="s">
        <v>117</v>
      </c>
      <c r="AK116" s="595" t="s">
        <v>211</v>
      </c>
      <c r="AL116" s="35" t="s">
        <v>1914</v>
      </c>
      <c r="AM116" s="67" t="s">
        <v>185</v>
      </c>
      <c r="AN116" s="91"/>
      <c r="AO116" s="162"/>
      <c r="AP116" s="157"/>
      <c r="AQ116" s="158" t="s">
        <v>2110</v>
      </c>
      <c r="AR116" s="158" t="s">
        <v>459</v>
      </c>
      <c r="AS116" s="158" t="str">
        <f t="shared" si="220"/>
        <v>服务业商贸流通</v>
      </c>
      <c r="AT116" s="158" t="str">
        <f t="shared" si="221"/>
        <v>商贸流通</v>
      </c>
      <c r="AU116" s="158"/>
      <c r="AV116" s="157"/>
      <c r="AW116" s="159"/>
      <c r="AX116" s="160"/>
      <c r="AY116" s="157"/>
      <c r="AZ116" s="157"/>
      <c r="BA116" s="157"/>
      <c r="BB116" s="157"/>
      <c r="BC116" s="157"/>
      <c r="BD116" s="157"/>
      <c r="BE116" s="157"/>
      <c r="BF116" s="157"/>
      <c r="BG116" s="7" t="s">
        <v>92</v>
      </c>
      <c r="BH116" s="7" t="s">
        <v>93</v>
      </c>
      <c r="BI116" s="204" t="str">
        <f t="shared" si="222"/>
        <v>企业中马钦州产业园区管委</v>
      </c>
      <c r="BJ116" s="204" t="str">
        <f t="shared" si="223"/>
        <v>产业中马钦州产业园区管委</v>
      </c>
      <c r="BK116" s="205">
        <f t="shared" si="224"/>
        <v>0</v>
      </c>
      <c r="BL116" s="157" t="str">
        <f t="shared" si="225"/>
        <v/>
      </c>
      <c r="BM116" s="157" t="str">
        <f t="shared" si="226"/>
        <v/>
      </c>
      <c r="BN116" s="157" t="str">
        <f t="shared" si="227"/>
        <v/>
      </c>
      <c r="BO116" s="157">
        <f t="shared" si="228"/>
        <v>1</v>
      </c>
      <c r="BP116" s="157">
        <f t="shared" si="229"/>
        <v>0</v>
      </c>
      <c r="BQ116" s="157">
        <f t="shared" si="230"/>
        <v>0</v>
      </c>
      <c r="BR116" s="157">
        <f t="shared" si="231"/>
        <v>1</v>
      </c>
      <c r="BS116" s="157">
        <f t="shared" si="232"/>
        <v>1</v>
      </c>
      <c r="BT116" s="181"/>
      <c r="BU116" s="206"/>
      <c r="BW116" s="7"/>
      <c r="BX116" s="7"/>
      <c r="BY116" s="7"/>
      <c r="BZ116" s="7"/>
      <c r="CA116" s="7"/>
    </row>
    <row r="117" ht="63.75" customHeight="1" spans="1:79">
      <c r="A117" s="23">
        <f>SUBTOTAL(3,C$8:C117)</f>
        <v>81</v>
      </c>
      <c r="B117" s="55" t="s">
        <v>935</v>
      </c>
      <c r="C117" s="35" t="s">
        <v>810</v>
      </c>
      <c r="D117" s="34" t="s">
        <v>936</v>
      </c>
      <c r="E117" s="35" t="s">
        <v>812</v>
      </c>
      <c r="F117" s="36">
        <v>8300</v>
      </c>
      <c r="G117" s="36">
        <v>3500</v>
      </c>
      <c r="H117" s="81" t="s">
        <v>353</v>
      </c>
      <c r="I117" s="37">
        <v>4800</v>
      </c>
      <c r="J117" s="37">
        <v>4800</v>
      </c>
      <c r="K117" s="37">
        <v>4800</v>
      </c>
      <c r="L117" s="36">
        <v>4800</v>
      </c>
      <c r="M117" s="36">
        <v>1300</v>
      </c>
      <c r="N117" s="640"/>
      <c r="O117" s="36"/>
      <c r="P117" s="112" t="s">
        <v>2700</v>
      </c>
      <c r="Q117" s="112" t="s">
        <v>117</v>
      </c>
      <c r="R117" s="132">
        <v>50</v>
      </c>
      <c r="S117" s="132">
        <v>50</v>
      </c>
      <c r="T117" s="132"/>
      <c r="U117" s="132"/>
      <c r="V117" s="132"/>
      <c r="W117" s="132"/>
      <c r="X117" s="132"/>
      <c r="Y117" s="132"/>
      <c r="Z117" s="132"/>
      <c r="AA117" s="132">
        <v>10</v>
      </c>
      <c r="AB117" s="132"/>
      <c r="AC117" s="132">
        <v>10</v>
      </c>
      <c r="AD117" s="132">
        <v>4800</v>
      </c>
      <c r="AE117" s="132"/>
      <c r="AF117" s="132"/>
      <c r="AG117" s="132">
        <v>4800</v>
      </c>
      <c r="AH117" s="132"/>
      <c r="AI117" s="90"/>
      <c r="AJ117" s="112" t="s">
        <v>117</v>
      </c>
      <c r="AK117" s="34" t="s">
        <v>937</v>
      </c>
      <c r="AL117" s="35" t="s">
        <v>2701</v>
      </c>
      <c r="AM117" s="35" t="s">
        <v>359</v>
      </c>
      <c r="AN117" s="91"/>
      <c r="AO117" s="162"/>
      <c r="AP117" s="157"/>
      <c r="AQ117" s="158" t="s">
        <v>2110</v>
      </c>
      <c r="AR117" s="158" t="s">
        <v>459</v>
      </c>
      <c r="AS117" s="158" t="str">
        <f t="shared" si="220"/>
        <v>服务业商贸流通</v>
      </c>
      <c r="AT117" s="158" t="str">
        <f t="shared" si="221"/>
        <v>商贸流通</v>
      </c>
      <c r="AU117" s="158"/>
      <c r="AV117" s="157"/>
      <c r="AW117" s="159"/>
      <c r="AX117" s="160"/>
      <c r="AY117" s="157"/>
      <c r="AZ117" s="157"/>
      <c r="BA117" s="157"/>
      <c r="BB117" s="157"/>
      <c r="BC117" s="157"/>
      <c r="BD117" s="157"/>
      <c r="BE117" s="157"/>
      <c r="BF117" s="157"/>
      <c r="BG117" s="7" t="s">
        <v>92</v>
      </c>
      <c r="BH117" s="7" t="s">
        <v>93</v>
      </c>
      <c r="BI117" s="204" t="str">
        <f t="shared" si="222"/>
        <v>企业钦南区人民政府</v>
      </c>
      <c r="BJ117" s="204" t="str">
        <f t="shared" si="223"/>
        <v>产业钦南区人民政府</v>
      </c>
      <c r="BK117" s="205">
        <f t="shared" si="224"/>
        <v>0</v>
      </c>
      <c r="BL117" s="157" t="str">
        <f t="shared" si="225"/>
        <v>服务业商贸流通1000</v>
      </c>
      <c r="BM117" s="157" t="str">
        <f t="shared" si="226"/>
        <v>服务业商贸流通2000</v>
      </c>
      <c r="BN117" s="157" t="str">
        <f t="shared" si="227"/>
        <v/>
      </c>
      <c r="BO117" s="157">
        <f t="shared" si="228"/>
        <v>1</v>
      </c>
      <c r="BP117" s="157">
        <f t="shared" si="229"/>
        <v>0</v>
      </c>
      <c r="BQ117" s="157">
        <f t="shared" si="230"/>
        <v>0</v>
      </c>
      <c r="BR117" s="157">
        <f t="shared" si="231"/>
        <v>1</v>
      </c>
      <c r="BS117" s="157">
        <f t="shared" si="232"/>
        <v>1</v>
      </c>
      <c r="BT117" s="181"/>
      <c r="BU117" s="206"/>
      <c r="BW117" s="7"/>
      <c r="BX117" s="7"/>
      <c r="BY117" s="7"/>
      <c r="BZ117" s="7"/>
      <c r="CA117" s="7"/>
    </row>
    <row r="118" s="9" customFormat="1" ht="30" customHeight="1" spans="1:77">
      <c r="A118" s="551"/>
      <c r="B118" s="557" t="str">
        <f>"旅游（"&amp;SUBTOTAL(3,C119)&amp;"个）"</f>
        <v>旅游（1个）</v>
      </c>
      <c r="C118" s="551"/>
      <c r="D118" s="555"/>
      <c r="E118" s="551"/>
      <c r="F118" s="134">
        <f t="shared" ref="F118:M118" si="233">SUBTOTAL(9,F119)</f>
        <v>20000</v>
      </c>
      <c r="G118" s="134">
        <f t="shared" si="233"/>
        <v>2750</v>
      </c>
      <c r="H118" s="134"/>
      <c r="I118" s="134">
        <f t="shared" si="233"/>
        <v>4000</v>
      </c>
      <c r="J118" s="134">
        <f t="shared" si="233"/>
        <v>9000</v>
      </c>
      <c r="K118" s="134">
        <f t="shared" si="233"/>
        <v>14000</v>
      </c>
      <c r="L118" s="134">
        <f t="shared" si="233"/>
        <v>17250</v>
      </c>
      <c r="M118" s="134">
        <f t="shared" si="233"/>
        <v>600</v>
      </c>
      <c r="N118" s="134"/>
      <c r="O118" s="134"/>
      <c r="P118" s="244"/>
      <c r="Q118" s="112"/>
      <c r="R118" s="132"/>
      <c r="S118" s="132"/>
      <c r="T118" s="132"/>
      <c r="U118" s="132"/>
      <c r="V118" s="132"/>
      <c r="W118" s="132"/>
      <c r="X118" s="132"/>
      <c r="Y118" s="132"/>
      <c r="Z118" s="132"/>
      <c r="AA118" s="132"/>
      <c r="AB118" s="132"/>
      <c r="AC118" s="132"/>
      <c r="AD118" s="132"/>
      <c r="AE118" s="132"/>
      <c r="AF118" s="132"/>
      <c r="AG118" s="132"/>
      <c r="AH118" s="132"/>
      <c r="AI118" s="90"/>
      <c r="AJ118" s="112"/>
      <c r="AK118" s="591"/>
      <c r="AL118" s="134"/>
      <c r="AM118" s="134"/>
      <c r="AN118" s="91"/>
      <c r="AO118" s="272"/>
      <c r="AP118" s="165"/>
      <c r="AQ118" s="158"/>
      <c r="AR118" s="161"/>
      <c r="AS118" s="158"/>
      <c r="AT118" s="158"/>
      <c r="AU118" s="158"/>
      <c r="AV118" s="165"/>
      <c r="AW118" s="169"/>
      <c r="AX118" s="165"/>
      <c r="AY118" s="165"/>
      <c r="AZ118" s="165"/>
      <c r="BA118" s="165"/>
      <c r="BB118" s="165"/>
      <c r="BC118" s="169"/>
      <c r="BD118" s="169"/>
      <c r="BE118" s="169"/>
      <c r="BF118" s="165"/>
      <c r="BK118" s="529"/>
      <c r="BL118" s="165"/>
      <c r="BM118" s="165"/>
      <c r="BN118" s="165"/>
      <c r="BO118" s="165"/>
      <c r="BP118" s="165"/>
      <c r="BQ118" s="165"/>
      <c r="BR118" s="165"/>
      <c r="BS118" s="165"/>
      <c r="BT118" s="183"/>
      <c r="BY118" s="7"/>
    </row>
    <row r="119" ht="75.75" customHeight="1" spans="1:79">
      <c r="A119" s="23">
        <f>SUBTOTAL(3,C$8:C119)</f>
        <v>82</v>
      </c>
      <c r="B119" s="60" t="s">
        <v>938</v>
      </c>
      <c r="C119" s="35" t="s">
        <v>810</v>
      </c>
      <c r="D119" s="58" t="s">
        <v>939</v>
      </c>
      <c r="E119" s="23" t="s">
        <v>827</v>
      </c>
      <c r="F119" s="67">
        <v>20000</v>
      </c>
      <c r="G119" s="67">
        <v>2750</v>
      </c>
      <c r="H119" s="81" t="s">
        <v>283</v>
      </c>
      <c r="I119" s="37">
        <v>4000</v>
      </c>
      <c r="J119" s="37">
        <v>9000</v>
      </c>
      <c r="K119" s="37">
        <v>14000</v>
      </c>
      <c r="L119" s="637">
        <v>17250</v>
      </c>
      <c r="M119" s="637">
        <v>600</v>
      </c>
      <c r="N119" s="36"/>
      <c r="O119" s="36"/>
      <c r="P119" s="123" t="s">
        <v>2702</v>
      </c>
      <c r="Q119" s="112" t="s">
        <v>117</v>
      </c>
      <c r="R119" s="132"/>
      <c r="S119" s="132"/>
      <c r="T119" s="132"/>
      <c r="U119" s="132"/>
      <c r="V119" s="132"/>
      <c r="W119" s="132"/>
      <c r="X119" s="132"/>
      <c r="Y119" s="132"/>
      <c r="Z119" s="132"/>
      <c r="AA119" s="132"/>
      <c r="AB119" s="132"/>
      <c r="AC119" s="132"/>
      <c r="AD119" s="132"/>
      <c r="AE119" s="132"/>
      <c r="AF119" s="132"/>
      <c r="AG119" s="132"/>
      <c r="AH119" s="132"/>
      <c r="AI119" s="90"/>
      <c r="AJ119" s="112" t="s">
        <v>117</v>
      </c>
      <c r="AK119" s="123" t="s">
        <v>940</v>
      </c>
      <c r="AL119" s="67" t="s">
        <v>2703</v>
      </c>
      <c r="AM119" s="35" t="s">
        <v>375</v>
      </c>
      <c r="AN119" s="91"/>
      <c r="AO119" s="162"/>
      <c r="AP119" s="157"/>
      <c r="AQ119" s="158" t="s">
        <v>2121</v>
      </c>
      <c r="AR119" s="158" t="s">
        <v>459</v>
      </c>
      <c r="AS119" s="158" t="str">
        <f t="shared" ref="AS119:AS122" si="234">AR119&amp;AQ119</f>
        <v>服务业旅游</v>
      </c>
      <c r="AT119" s="158" t="s">
        <v>2051</v>
      </c>
      <c r="AU119" s="158"/>
      <c r="AV119" s="157"/>
      <c r="AW119" s="159"/>
      <c r="AX119" s="160"/>
      <c r="AY119" s="157"/>
      <c r="AZ119" s="157"/>
      <c r="BA119" s="157"/>
      <c r="BB119" s="157"/>
      <c r="BC119" s="157"/>
      <c r="BD119" s="157"/>
      <c r="BE119" s="157"/>
      <c r="BF119" s="157"/>
      <c r="BG119" s="7" t="s">
        <v>92</v>
      </c>
      <c r="BH119" s="7" t="s">
        <v>93</v>
      </c>
      <c r="BI119" s="204" t="str">
        <f t="shared" ref="BI119:BI122" si="235">BG119&amp;AM119</f>
        <v>企业钦北区人民政府</v>
      </c>
      <c r="BJ119" s="204" t="str">
        <f t="shared" ref="BJ119:BJ122" si="236">BH119&amp;AM119</f>
        <v>产业钦北区人民政府</v>
      </c>
      <c r="BK119" s="205">
        <f t="shared" ref="BK119:BK122" si="237">IF(N119&gt;0,1,0)</f>
        <v>0</v>
      </c>
      <c r="BL119" s="157" t="str">
        <f t="shared" ref="BL119:BL122" si="238">IF(L119&lt;1000,"",AS119&amp;"1000")</f>
        <v>服务业旅游1000</v>
      </c>
      <c r="BM119" s="157" t="str">
        <f t="shared" ref="BM119:BM122" si="239">IF(L119&lt;2000,"",AS119&amp;"2000")</f>
        <v>服务业旅游2000</v>
      </c>
      <c r="BN119" s="157" t="str">
        <f t="shared" ref="BN119:BN122" si="240">IF(L119&lt;5000,"",AS119&amp;"5000")</f>
        <v>服务业旅游5000</v>
      </c>
      <c r="BO119" s="157">
        <f t="shared" ref="BO119:BO122" si="241">IF(R119&gt;0,1,0)</f>
        <v>0</v>
      </c>
      <c r="BP119" s="157">
        <f t="shared" ref="BP119:BP122" si="242">IF(X119&gt;0,1,0)</f>
        <v>0</v>
      </c>
      <c r="BQ119" s="157">
        <f t="shared" ref="BQ119:BQ122" si="243">IF(U119&gt;0,1,0)</f>
        <v>0</v>
      </c>
      <c r="BR119" s="157">
        <f t="shared" ref="BR119:BR122" si="244">IF(AA119&gt;0,1,0)</f>
        <v>0</v>
      </c>
      <c r="BS119" s="157">
        <f t="shared" ref="BS119:BS122" si="245">IF(AD119&gt;0,1,0)</f>
        <v>0</v>
      </c>
      <c r="BT119" s="181"/>
      <c r="BU119" s="206"/>
      <c r="BW119" s="7"/>
      <c r="BX119" s="7"/>
      <c r="BY119" s="7"/>
      <c r="BZ119" s="7"/>
      <c r="CA119" s="7"/>
    </row>
    <row r="120" s="9" customFormat="1" ht="30" customHeight="1" spans="1:77">
      <c r="A120" s="551"/>
      <c r="B120" s="557" t="str">
        <f>"信息服务（"&amp;SUBTOTAL(3,C121:C122)&amp;"个）"</f>
        <v>信息服务（2个）</v>
      </c>
      <c r="C120" s="551"/>
      <c r="D120" s="555"/>
      <c r="E120" s="551"/>
      <c r="F120" s="134">
        <f t="shared" ref="F120:M120" si="246">SUBTOTAL(9,F121:F122)</f>
        <v>23724</v>
      </c>
      <c r="G120" s="134">
        <f t="shared" si="246"/>
        <v>11323</v>
      </c>
      <c r="H120" s="134"/>
      <c r="I120" s="134">
        <f t="shared" si="246"/>
        <v>3020</v>
      </c>
      <c r="J120" s="134">
        <f t="shared" si="246"/>
        <v>6600</v>
      </c>
      <c r="K120" s="134">
        <f t="shared" si="246"/>
        <v>9700</v>
      </c>
      <c r="L120" s="134">
        <f t="shared" si="246"/>
        <v>12401</v>
      </c>
      <c r="M120" s="134">
        <f t="shared" si="246"/>
        <v>0</v>
      </c>
      <c r="N120" s="134"/>
      <c r="O120" s="134"/>
      <c r="P120" s="244"/>
      <c r="Q120" s="112"/>
      <c r="R120" s="132"/>
      <c r="S120" s="132"/>
      <c r="T120" s="132"/>
      <c r="U120" s="132"/>
      <c r="V120" s="132"/>
      <c r="W120" s="132"/>
      <c r="X120" s="132"/>
      <c r="Y120" s="132"/>
      <c r="Z120" s="132"/>
      <c r="AA120" s="132"/>
      <c r="AB120" s="132"/>
      <c r="AC120" s="132"/>
      <c r="AD120" s="132"/>
      <c r="AE120" s="132"/>
      <c r="AF120" s="132"/>
      <c r="AG120" s="132"/>
      <c r="AH120" s="132"/>
      <c r="AI120" s="90"/>
      <c r="AJ120" s="112"/>
      <c r="AK120" s="591"/>
      <c r="AL120" s="134"/>
      <c r="AM120" s="134"/>
      <c r="AN120" s="91"/>
      <c r="AO120" s="272"/>
      <c r="AP120" s="165"/>
      <c r="AQ120" s="158"/>
      <c r="AR120" s="161"/>
      <c r="AS120" s="158"/>
      <c r="AT120" s="158"/>
      <c r="AU120" s="158"/>
      <c r="AV120" s="165"/>
      <c r="AW120" s="169"/>
      <c r="AX120" s="165"/>
      <c r="AY120" s="165"/>
      <c r="AZ120" s="165"/>
      <c r="BA120" s="165"/>
      <c r="BB120" s="165"/>
      <c r="BC120" s="169"/>
      <c r="BD120" s="169"/>
      <c r="BE120" s="169"/>
      <c r="BF120" s="165"/>
      <c r="BK120" s="529"/>
      <c r="BL120" s="165"/>
      <c r="BM120" s="165"/>
      <c r="BN120" s="165"/>
      <c r="BO120" s="165"/>
      <c r="BP120" s="165"/>
      <c r="BQ120" s="165"/>
      <c r="BR120" s="165"/>
      <c r="BS120" s="165"/>
      <c r="BT120" s="183"/>
      <c r="BY120" s="7"/>
    </row>
    <row r="121" s="7" customFormat="1" ht="75.75" customHeight="1" spans="1:73">
      <c r="A121" s="23">
        <f>SUBTOTAL(3,C$8:C121)</f>
        <v>83</v>
      </c>
      <c r="B121" s="55" t="s">
        <v>916</v>
      </c>
      <c r="C121" s="35" t="s">
        <v>810</v>
      </c>
      <c r="D121" s="34" t="s">
        <v>917</v>
      </c>
      <c r="E121" s="35" t="s">
        <v>812</v>
      </c>
      <c r="F121" s="35">
        <v>16000</v>
      </c>
      <c r="G121" s="127">
        <v>6000</v>
      </c>
      <c r="H121" s="81" t="s">
        <v>131</v>
      </c>
      <c r="I121" s="37">
        <v>2500</v>
      </c>
      <c r="J121" s="37">
        <v>5000</v>
      </c>
      <c r="K121" s="37">
        <v>7500</v>
      </c>
      <c r="L121" s="127">
        <v>10000</v>
      </c>
      <c r="M121" s="127"/>
      <c r="N121" s="56"/>
      <c r="O121" s="127"/>
      <c r="P121" s="112" t="s">
        <v>2317</v>
      </c>
      <c r="Q121" s="112" t="s">
        <v>117</v>
      </c>
      <c r="R121" s="132"/>
      <c r="S121" s="132"/>
      <c r="T121" s="132"/>
      <c r="U121" s="132"/>
      <c r="V121" s="132"/>
      <c r="W121" s="132"/>
      <c r="X121" s="132"/>
      <c r="Y121" s="132"/>
      <c r="Z121" s="132"/>
      <c r="AA121" s="132"/>
      <c r="AB121" s="132"/>
      <c r="AC121" s="132"/>
      <c r="AD121" s="132"/>
      <c r="AE121" s="132"/>
      <c r="AF121" s="132"/>
      <c r="AG121" s="132"/>
      <c r="AH121" s="132"/>
      <c r="AI121" s="90"/>
      <c r="AJ121" s="112"/>
      <c r="AK121" s="34" t="s">
        <v>918</v>
      </c>
      <c r="AL121" s="35" t="s">
        <v>2704</v>
      </c>
      <c r="AM121" s="81" t="s">
        <v>919</v>
      </c>
      <c r="AN121" s="91"/>
      <c r="AO121" s="162"/>
      <c r="AP121" s="157"/>
      <c r="AQ121" s="158" t="s">
        <v>2132</v>
      </c>
      <c r="AR121" s="158" t="s">
        <v>459</v>
      </c>
      <c r="AS121" s="158" t="str">
        <f t="shared" si="234"/>
        <v>服务业信息服务</v>
      </c>
      <c r="AT121" s="158" t="s">
        <v>2051</v>
      </c>
      <c r="AU121" s="158"/>
      <c r="AV121" s="157"/>
      <c r="AW121" s="159"/>
      <c r="AX121" s="160"/>
      <c r="AY121" s="157"/>
      <c r="AZ121" s="157"/>
      <c r="BA121" s="157"/>
      <c r="BB121" s="157"/>
      <c r="BC121" s="157"/>
      <c r="BD121" s="157"/>
      <c r="BE121" s="157"/>
      <c r="BF121" s="157"/>
      <c r="BG121" s="7" t="s">
        <v>205</v>
      </c>
      <c r="BH121" s="7" t="s">
        <v>93</v>
      </c>
      <c r="BI121" s="204" t="str">
        <f t="shared" si="235"/>
        <v>政府市工业和信息化局</v>
      </c>
      <c r="BJ121" s="204" t="str">
        <f t="shared" si="236"/>
        <v>产业市工业和信息化局</v>
      </c>
      <c r="BK121" s="205">
        <f t="shared" si="237"/>
        <v>0</v>
      </c>
      <c r="BL121" s="157" t="str">
        <f t="shared" si="238"/>
        <v>服务业信息服务1000</v>
      </c>
      <c r="BM121" s="157" t="str">
        <f t="shared" si="239"/>
        <v>服务业信息服务2000</v>
      </c>
      <c r="BN121" s="157" t="str">
        <f t="shared" si="240"/>
        <v>服务业信息服务5000</v>
      </c>
      <c r="BO121" s="157">
        <f t="shared" si="241"/>
        <v>0</v>
      </c>
      <c r="BP121" s="157">
        <f t="shared" si="242"/>
        <v>0</v>
      </c>
      <c r="BQ121" s="157">
        <f t="shared" si="243"/>
        <v>0</v>
      </c>
      <c r="BR121" s="157">
        <f t="shared" si="244"/>
        <v>0</v>
      </c>
      <c r="BS121" s="157">
        <f t="shared" si="245"/>
        <v>0</v>
      </c>
      <c r="BT121" s="181"/>
      <c r="BU121" s="206"/>
    </row>
    <row r="122" ht="85.5" customHeight="1" spans="1:79">
      <c r="A122" s="23">
        <f>SUBTOTAL(3,C$8:C122)</f>
        <v>84</v>
      </c>
      <c r="B122" s="55" t="s">
        <v>921</v>
      </c>
      <c r="C122" s="35" t="s">
        <v>810</v>
      </c>
      <c r="D122" s="34" t="s">
        <v>922</v>
      </c>
      <c r="E122" s="35" t="s">
        <v>827</v>
      </c>
      <c r="F122" s="38">
        <v>7724</v>
      </c>
      <c r="G122" s="38">
        <v>5323</v>
      </c>
      <c r="H122" s="81" t="s">
        <v>131</v>
      </c>
      <c r="I122" s="37">
        <v>520</v>
      </c>
      <c r="J122" s="37">
        <v>1600</v>
      </c>
      <c r="K122" s="37">
        <v>2200</v>
      </c>
      <c r="L122" s="38">
        <v>2401</v>
      </c>
      <c r="M122" s="38"/>
      <c r="N122" s="111"/>
      <c r="O122" s="67"/>
      <c r="P122" s="112" t="s">
        <v>2705</v>
      </c>
      <c r="Q122" s="112" t="s">
        <v>2706</v>
      </c>
      <c r="R122" s="132">
        <v>10</v>
      </c>
      <c r="S122" s="132">
        <v>10</v>
      </c>
      <c r="T122" s="132"/>
      <c r="U122" s="132"/>
      <c r="V122" s="132"/>
      <c r="W122" s="132"/>
      <c r="X122" s="132"/>
      <c r="Y122" s="132"/>
      <c r="Z122" s="132"/>
      <c r="AA122" s="132"/>
      <c r="AB122" s="132"/>
      <c r="AC122" s="132"/>
      <c r="AD122" s="132">
        <v>2401</v>
      </c>
      <c r="AE122" s="132"/>
      <c r="AF122" s="132"/>
      <c r="AG122" s="132">
        <v>1000</v>
      </c>
      <c r="AH122" s="132">
        <v>1401</v>
      </c>
      <c r="AI122" s="90"/>
      <c r="AJ122" s="112" t="s">
        <v>2707</v>
      </c>
      <c r="AK122" s="34" t="s">
        <v>921</v>
      </c>
      <c r="AL122" s="35" t="s">
        <v>2708</v>
      </c>
      <c r="AM122" s="35" t="s">
        <v>924</v>
      </c>
      <c r="AN122" s="91"/>
      <c r="AO122" s="162"/>
      <c r="AP122" s="157"/>
      <c r="AQ122" s="158" t="s">
        <v>2132</v>
      </c>
      <c r="AR122" s="158" t="s">
        <v>459</v>
      </c>
      <c r="AS122" s="158" t="str">
        <f t="shared" si="234"/>
        <v>服务业信息服务</v>
      </c>
      <c r="AT122" s="158" t="s">
        <v>2051</v>
      </c>
      <c r="AU122" s="158"/>
      <c r="AV122" s="157"/>
      <c r="AW122" s="159"/>
      <c r="AX122" s="160"/>
      <c r="AY122" s="157"/>
      <c r="AZ122" s="157"/>
      <c r="BA122" s="157"/>
      <c r="BB122" s="157"/>
      <c r="BC122" s="157"/>
      <c r="BD122" s="157"/>
      <c r="BE122" s="157"/>
      <c r="BF122" s="157"/>
      <c r="BG122" s="7" t="s">
        <v>205</v>
      </c>
      <c r="BH122" s="7" t="s">
        <v>93</v>
      </c>
      <c r="BI122" s="204" t="str">
        <f t="shared" si="235"/>
        <v>政府市科技局</v>
      </c>
      <c r="BJ122" s="204" t="str">
        <f t="shared" si="236"/>
        <v>产业市科技局</v>
      </c>
      <c r="BK122" s="205">
        <f t="shared" si="237"/>
        <v>0</v>
      </c>
      <c r="BL122" s="157" t="str">
        <f t="shared" si="238"/>
        <v>服务业信息服务1000</v>
      </c>
      <c r="BM122" s="157" t="str">
        <f t="shared" si="239"/>
        <v>服务业信息服务2000</v>
      </c>
      <c r="BN122" s="157" t="str">
        <f t="shared" si="240"/>
        <v/>
      </c>
      <c r="BO122" s="157">
        <f t="shared" si="241"/>
        <v>1</v>
      </c>
      <c r="BP122" s="157">
        <f t="shared" si="242"/>
        <v>0</v>
      </c>
      <c r="BQ122" s="157">
        <f t="shared" si="243"/>
        <v>0</v>
      </c>
      <c r="BR122" s="157">
        <f t="shared" si="244"/>
        <v>0</v>
      </c>
      <c r="BS122" s="157">
        <f t="shared" si="245"/>
        <v>1</v>
      </c>
      <c r="BT122" s="181"/>
      <c r="BU122" s="206"/>
      <c r="BW122" s="7"/>
      <c r="BX122" s="7"/>
      <c r="BY122" s="7"/>
      <c r="BZ122" s="7"/>
      <c r="CA122" s="7"/>
    </row>
    <row r="123" s="9" customFormat="1" ht="30" customHeight="1" spans="1:77">
      <c r="A123" s="551" t="s">
        <v>2136</v>
      </c>
      <c r="B123" s="557" t="str">
        <f>"社会事业（"&amp;SUBTOTAL(3,C125:C130)&amp;"个）"</f>
        <v>社会事业（5个）</v>
      </c>
      <c r="C123" s="557"/>
      <c r="D123" s="557"/>
      <c r="E123" s="551"/>
      <c r="F123" s="134">
        <f t="shared" ref="F123:M123" si="247">F124+F127</f>
        <v>123772</v>
      </c>
      <c r="G123" s="134">
        <f t="shared" si="247"/>
        <v>73472</v>
      </c>
      <c r="H123" s="134"/>
      <c r="I123" s="134">
        <f t="shared" si="247"/>
        <v>9100</v>
      </c>
      <c r="J123" s="134">
        <f t="shared" si="247"/>
        <v>23200</v>
      </c>
      <c r="K123" s="134">
        <f t="shared" si="247"/>
        <v>38340</v>
      </c>
      <c r="L123" s="134">
        <f t="shared" si="247"/>
        <v>50300</v>
      </c>
      <c r="M123" s="134">
        <f t="shared" si="247"/>
        <v>0</v>
      </c>
      <c r="N123" s="134">
        <f>SUBTOTAL(9,N125:N130)</f>
        <v>0</v>
      </c>
      <c r="O123" s="134">
        <f>SUBTOTAL(9,O125:O130)</f>
        <v>0</v>
      </c>
      <c r="P123" s="244"/>
      <c r="Q123" s="112"/>
      <c r="R123" s="132"/>
      <c r="S123" s="132"/>
      <c r="T123" s="132"/>
      <c r="U123" s="132"/>
      <c r="V123" s="132"/>
      <c r="W123" s="132"/>
      <c r="X123" s="132"/>
      <c r="Y123" s="132"/>
      <c r="Z123" s="132"/>
      <c r="AA123" s="132"/>
      <c r="AB123" s="132"/>
      <c r="AC123" s="132"/>
      <c r="AD123" s="132"/>
      <c r="AE123" s="132"/>
      <c r="AF123" s="132"/>
      <c r="AG123" s="132"/>
      <c r="AH123" s="132"/>
      <c r="AI123" s="90"/>
      <c r="AJ123" s="112"/>
      <c r="AK123" s="591"/>
      <c r="AL123" s="134"/>
      <c r="AM123" s="134"/>
      <c r="AN123" s="91"/>
      <c r="AO123" s="272"/>
      <c r="AP123" s="165"/>
      <c r="AQ123" s="158"/>
      <c r="AR123" s="158"/>
      <c r="AS123" s="158"/>
      <c r="AT123" s="158"/>
      <c r="AU123" s="158"/>
      <c r="AV123" s="165"/>
      <c r="AW123" s="169"/>
      <c r="AX123" s="165"/>
      <c r="AY123" s="165"/>
      <c r="AZ123" s="165"/>
      <c r="BA123" s="165"/>
      <c r="BB123" s="165"/>
      <c r="BC123" s="169"/>
      <c r="BD123" s="169"/>
      <c r="BE123" s="169"/>
      <c r="BF123" s="165"/>
      <c r="BK123" s="529"/>
      <c r="BL123" s="165"/>
      <c r="BM123" s="165"/>
      <c r="BN123" s="165"/>
      <c r="BO123" s="619"/>
      <c r="BP123" s="619"/>
      <c r="BQ123" s="619"/>
      <c r="BR123" s="619"/>
      <c r="BS123" s="619"/>
      <c r="BY123" s="7"/>
    </row>
    <row r="124" s="9" customFormat="1" ht="30" customHeight="1" spans="1:77">
      <c r="A124" s="551"/>
      <c r="B124" s="557" t="str">
        <f>"教育（"&amp;SUBTOTAL(3,C125:C126)&amp;"个）"</f>
        <v>教育（2个）</v>
      </c>
      <c r="C124" s="551"/>
      <c r="D124" s="555"/>
      <c r="E124" s="551"/>
      <c r="F124" s="134">
        <f t="shared" ref="F124:M124" si="248">SUBTOTAL(9,F125:F126)</f>
        <v>108475</v>
      </c>
      <c r="G124" s="134">
        <f t="shared" si="248"/>
        <v>65274</v>
      </c>
      <c r="H124" s="134"/>
      <c r="I124" s="134">
        <f t="shared" si="248"/>
        <v>8300</v>
      </c>
      <c r="J124" s="134">
        <f t="shared" si="248"/>
        <v>21000</v>
      </c>
      <c r="K124" s="134">
        <f t="shared" si="248"/>
        <v>34940</v>
      </c>
      <c r="L124" s="134">
        <f t="shared" si="248"/>
        <v>43201</v>
      </c>
      <c r="M124" s="134">
        <f t="shared" si="248"/>
        <v>0</v>
      </c>
      <c r="N124" s="134"/>
      <c r="O124" s="134"/>
      <c r="P124" s="244"/>
      <c r="Q124" s="112"/>
      <c r="R124" s="132"/>
      <c r="S124" s="132"/>
      <c r="T124" s="132"/>
      <c r="U124" s="132"/>
      <c r="V124" s="132"/>
      <c r="W124" s="132"/>
      <c r="X124" s="132"/>
      <c r="Y124" s="132"/>
      <c r="Z124" s="132"/>
      <c r="AA124" s="132"/>
      <c r="AB124" s="132"/>
      <c r="AC124" s="132"/>
      <c r="AD124" s="132"/>
      <c r="AE124" s="132"/>
      <c r="AF124" s="132"/>
      <c r="AG124" s="132"/>
      <c r="AH124" s="132"/>
      <c r="AI124" s="90"/>
      <c r="AJ124" s="112"/>
      <c r="AK124" s="591"/>
      <c r="AL124" s="134"/>
      <c r="AM124" s="134"/>
      <c r="AN124" s="91"/>
      <c r="AO124" s="272"/>
      <c r="AP124" s="165"/>
      <c r="AQ124" s="158"/>
      <c r="AR124" s="161"/>
      <c r="AS124" s="158"/>
      <c r="AT124" s="158"/>
      <c r="AU124" s="158"/>
      <c r="AV124" s="165"/>
      <c r="AW124" s="169"/>
      <c r="AX124" s="165"/>
      <c r="AY124" s="165"/>
      <c r="AZ124" s="165"/>
      <c r="BA124" s="165"/>
      <c r="BB124" s="165"/>
      <c r="BC124" s="169"/>
      <c r="BD124" s="169"/>
      <c r="BE124" s="169"/>
      <c r="BF124" s="165"/>
      <c r="BK124" s="529"/>
      <c r="BL124" s="165"/>
      <c r="BM124" s="165"/>
      <c r="BN124" s="165"/>
      <c r="BO124" s="165"/>
      <c r="BP124" s="165"/>
      <c r="BQ124" s="165"/>
      <c r="BR124" s="165"/>
      <c r="BS124" s="165"/>
      <c r="BT124" s="183"/>
      <c r="BY124" s="7"/>
    </row>
    <row r="125" ht="67.5" customHeight="1" spans="1:79">
      <c r="A125" s="23">
        <f>SUBTOTAL(3,C$8:C125)</f>
        <v>85</v>
      </c>
      <c r="B125" s="55" t="s">
        <v>1755</v>
      </c>
      <c r="C125" s="35" t="s">
        <v>810</v>
      </c>
      <c r="D125" s="34" t="s">
        <v>1756</v>
      </c>
      <c r="E125" s="35" t="s">
        <v>832</v>
      </c>
      <c r="F125" s="38">
        <v>11000</v>
      </c>
      <c r="G125" s="36">
        <v>9060</v>
      </c>
      <c r="H125" s="83" t="s">
        <v>195</v>
      </c>
      <c r="I125" s="578">
        <v>300</v>
      </c>
      <c r="J125" s="578">
        <v>1000</v>
      </c>
      <c r="K125" s="578">
        <v>1940</v>
      </c>
      <c r="L125" s="38">
        <v>1940</v>
      </c>
      <c r="M125" s="38"/>
      <c r="N125" s="36"/>
      <c r="O125" s="67"/>
      <c r="P125" s="112" t="s">
        <v>2317</v>
      </c>
      <c r="Q125" s="112" t="s">
        <v>2709</v>
      </c>
      <c r="R125" s="132">
        <v>110</v>
      </c>
      <c r="S125" s="132">
        <v>110</v>
      </c>
      <c r="T125" s="132"/>
      <c r="U125" s="132"/>
      <c r="V125" s="132"/>
      <c r="W125" s="132"/>
      <c r="X125" s="132"/>
      <c r="Y125" s="132"/>
      <c r="Z125" s="132"/>
      <c r="AA125" s="132"/>
      <c r="AB125" s="132"/>
      <c r="AC125" s="132"/>
      <c r="AD125" s="132">
        <v>1940</v>
      </c>
      <c r="AE125" s="132"/>
      <c r="AF125" s="132"/>
      <c r="AG125" s="132"/>
      <c r="AH125" s="132">
        <v>1940</v>
      </c>
      <c r="AI125" s="90"/>
      <c r="AJ125" s="112" t="s">
        <v>117</v>
      </c>
      <c r="AK125" s="34" t="s">
        <v>1758</v>
      </c>
      <c r="AL125" s="35" t="s">
        <v>2710</v>
      </c>
      <c r="AM125" s="35" t="s">
        <v>1759</v>
      </c>
      <c r="AN125" s="91"/>
      <c r="AO125" s="162"/>
      <c r="AP125" s="157"/>
      <c r="AQ125" s="158" t="s">
        <v>2138</v>
      </c>
      <c r="AR125" s="158" t="s">
        <v>2139</v>
      </c>
      <c r="AS125" s="158" t="str">
        <f t="shared" ref="AS125:AS130" si="249">AR125&amp;AQ125</f>
        <v>社会事业教育</v>
      </c>
      <c r="AT125" s="158" t="str">
        <f t="shared" ref="AT125:AT130" si="250">AQ125</f>
        <v>教育</v>
      </c>
      <c r="AU125" s="158"/>
      <c r="AV125" s="161"/>
      <c r="AW125" s="161"/>
      <c r="AX125" s="160"/>
      <c r="AY125" s="157"/>
      <c r="AZ125" s="157"/>
      <c r="BA125" s="157"/>
      <c r="BB125" s="157"/>
      <c r="BC125" s="157"/>
      <c r="BD125" s="157"/>
      <c r="BE125" s="157"/>
      <c r="BF125" s="157"/>
      <c r="BG125" s="7" t="s">
        <v>205</v>
      </c>
      <c r="BH125" s="7" t="s">
        <v>2140</v>
      </c>
      <c r="BI125" s="204" t="str">
        <f t="shared" ref="BI125:BI130" si="251">BG125&amp;AM125</f>
        <v>政府市委党校、市滨海新城管委</v>
      </c>
      <c r="BJ125" s="204" t="str">
        <f t="shared" ref="BJ125:BJ130" si="252">BH125&amp;AM125</f>
        <v>民生设施市委党校、市滨海新城管委</v>
      </c>
      <c r="BK125" s="205">
        <f t="shared" ref="BK125:BK130" si="253">IF(N125&gt;0,1,0)</f>
        <v>0</v>
      </c>
      <c r="BL125" s="157" t="str">
        <f t="shared" ref="BL125:BL130" si="254">IF(L125&lt;1000,"",AS125&amp;"1000")</f>
        <v>社会事业教育1000</v>
      </c>
      <c r="BM125" s="157" t="str">
        <f t="shared" ref="BM125:BM130" si="255">IF(L125&lt;2000,"",AS125&amp;"2000")</f>
        <v/>
      </c>
      <c r="BN125" s="157" t="str">
        <f t="shared" ref="BN125:BN130" si="256">IF(L125&lt;5000,"",AS125&amp;"5000")</f>
        <v/>
      </c>
      <c r="BO125" s="157">
        <f t="shared" ref="BO125:BO130" si="257">IF(R125&gt;0,1,0)</f>
        <v>1</v>
      </c>
      <c r="BP125" s="157">
        <f t="shared" ref="BP125:BP130" si="258">IF(X125&gt;0,1,0)</f>
        <v>0</v>
      </c>
      <c r="BQ125" s="157">
        <f t="shared" ref="BQ125:BQ130" si="259">IF(U125&gt;0,1,0)</f>
        <v>0</v>
      </c>
      <c r="BR125" s="157">
        <f t="shared" ref="BR125:BR130" si="260">IF(AA125&gt;0,1,0)</f>
        <v>0</v>
      </c>
      <c r="BS125" s="157">
        <f t="shared" ref="BS125:BS130" si="261">IF(AD125&gt;0,1,0)</f>
        <v>1</v>
      </c>
      <c r="BT125" s="181"/>
      <c r="BU125" s="206"/>
      <c r="BW125" s="7"/>
      <c r="BX125" s="7"/>
      <c r="BY125" s="7"/>
      <c r="BZ125" s="7"/>
      <c r="CA125" s="7"/>
    </row>
    <row r="126" ht="69" customHeight="1" spans="1:79">
      <c r="A126" s="23">
        <f>SUBTOTAL(3,C$8:C126)</f>
        <v>86</v>
      </c>
      <c r="B126" s="55" t="s">
        <v>1804</v>
      </c>
      <c r="C126" s="35" t="s">
        <v>810</v>
      </c>
      <c r="D126" s="58" t="s">
        <v>1805</v>
      </c>
      <c r="E126" s="35" t="s">
        <v>812</v>
      </c>
      <c r="F126" s="35">
        <v>97475</v>
      </c>
      <c r="G126" s="67">
        <v>56214</v>
      </c>
      <c r="H126" s="83" t="s">
        <v>177</v>
      </c>
      <c r="I126" s="578">
        <v>8000</v>
      </c>
      <c r="J126" s="578">
        <v>20000</v>
      </c>
      <c r="K126" s="578">
        <v>33000</v>
      </c>
      <c r="L126" s="637">
        <v>41261</v>
      </c>
      <c r="M126" s="637"/>
      <c r="N126" s="36"/>
      <c r="O126" s="36"/>
      <c r="P126" s="112" t="s">
        <v>2711</v>
      </c>
      <c r="Q126" s="34" t="s">
        <v>2712</v>
      </c>
      <c r="R126" s="132"/>
      <c r="S126" s="132"/>
      <c r="T126" s="132"/>
      <c r="U126" s="132"/>
      <c r="V126" s="132"/>
      <c r="W126" s="132"/>
      <c r="X126" s="132"/>
      <c r="Y126" s="132"/>
      <c r="Z126" s="132"/>
      <c r="AA126" s="132"/>
      <c r="AB126" s="132"/>
      <c r="AC126" s="132"/>
      <c r="AD126" s="132"/>
      <c r="AE126" s="132"/>
      <c r="AF126" s="132"/>
      <c r="AG126" s="132"/>
      <c r="AH126" s="132"/>
      <c r="AI126" s="90"/>
      <c r="AJ126" s="90" t="s">
        <v>806</v>
      </c>
      <c r="AK126" s="123" t="s">
        <v>1790</v>
      </c>
      <c r="AL126" s="129" t="s">
        <v>2143</v>
      </c>
      <c r="AM126" s="67" t="s">
        <v>375</v>
      </c>
      <c r="AN126" s="91"/>
      <c r="AO126" s="162"/>
      <c r="AP126" s="157"/>
      <c r="AQ126" s="158" t="s">
        <v>2138</v>
      </c>
      <c r="AR126" s="158" t="s">
        <v>2139</v>
      </c>
      <c r="AS126" s="158" t="str">
        <f t="shared" si="249"/>
        <v>社会事业教育</v>
      </c>
      <c r="AT126" s="158" t="str">
        <f t="shared" si="250"/>
        <v>教育</v>
      </c>
      <c r="AU126" s="158"/>
      <c r="AV126" s="161"/>
      <c r="AW126" s="161"/>
      <c r="AX126" s="160"/>
      <c r="AY126" s="157"/>
      <c r="AZ126" s="157"/>
      <c r="BA126" s="157"/>
      <c r="BB126" s="157"/>
      <c r="BC126" s="157"/>
      <c r="BD126" s="157"/>
      <c r="BE126" s="157"/>
      <c r="BF126" s="157"/>
      <c r="BG126" s="7" t="s">
        <v>205</v>
      </c>
      <c r="BH126" s="7" t="s">
        <v>2140</v>
      </c>
      <c r="BI126" s="204" t="str">
        <f t="shared" si="251"/>
        <v>政府钦北区人民政府</v>
      </c>
      <c r="BJ126" s="204" t="str">
        <f t="shared" si="252"/>
        <v>民生设施钦北区人民政府</v>
      </c>
      <c r="BK126" s="205">
        <f t="shared" si="253"/>
        <v>0</v>
      </c>
      <c r="BL126" s="157" t="str">
        <f t="shared" si="254"/>
        <v>社会事业教育1000</v>
      </c>
      <c r="BM126" s="157" t="str">
        <f t="shared" si="255"/>
        <v>社会事业教育2000</v>
      </c>
      <c r="BN126" s="157" t="str">
        <f t="shared" si="256"/>
        <v>社会事业教育5000</v>
      </c>
      <c r="BO126" s="157">
        <f t="shared" si="257"/>
        <v>0</v>
      </c>
      <c r="BP126" s="157">
        <f t="shared" si="258"/>
        <v>0</v>
      </c>
      <c r="BQ126" s="157">
        <f t="shared" si="259"/>
        <v>0</v>
      </c>
      <c r="BR126" s="157">
        <f t="shared" si="260"/>
        <v>0</v>
      </c>
      <c r="BS126" s="157">
        <f t="shared" si="261"/>
        <v>0</v>
      </c>
      <c r="BT126" s="162"/>
      <c r="BU126" s="206"/>
      <c r="BW126" s="7"/>
      <c r="BX126" s="7"/>
      <c r="BY126" s="7"/>
      <c r="BZ126" s="7"/>
      <c r="CA126" s="7"/>
    </row>
    <row r="127" s="9" customFormat="1" ht="30" customHeight="1" spans="1:77">
      <c r="A127" s="551"/>
      <c r="B127" s="557" t="str">
        <f>"卫生（"&amp;SUBTOTAL(3,C128:C130)&amp;"个）"</f>
        <v>卫生（3个）</v>
      </c>
      <c r="C127" s="551"/>
      <c r="D127" s="555"/>
      <c r="E127" s="551"/>
      <c r="F127" s="134">
        <f>SUBTOTAL(9,F128:F130)</f>
        <v>15297</v>
      </c>
      <c r="G127" s="134">
        <f t="shared" ref="G127:AI127" si="262">SUBTOTAL(9,G128:G130)</f>
        <v>8198</v>
      </c>
      <c r="H127" s="134"/>
      <c r="I127" s="134">
        <f t="shared" si="262"/>
        <v>800</v>
      </c>
      <c r="J127" s="134">
        <f t="shared" si="262"/>
        <v>2200</v>
      </c>
      <c r="K127" s="134">
        <f t="shared" si="262"/>
        <v>3400</v>
      </c>
      <c r="L127" s="134">
        <f t="shared" si="262"/>
        <v>7099</v>
      </c>
      <c r="M127" s="134">
        <f t="shared" si="262"/>
        <v>0</v>
      </c>
      <c r="N127" s="134">
        <f t="shared" si="262"/>
        <v>0</v>
      </c>
      <c r="O127" s="134">
        <f t="shared" si="262"/>
        <v>0</v>
      </c>
      <c r="P127" s="134">
        <f t="shared" si="262"/>
        <v>0</v>
      </c>
      <c r="Q127" s="134">
        <f t="shared" si="262"/>
        <v>0</v>
      </c>
      <c r="R127" s="134">
        <f t="shared" si="262"/>
        <v>0</v>
      </c>
      <c r="S127" s="134">
        <f t="shared" si="262"/>
        <v>0</v>
      </c>
      <c r="T127" s="134">
        <f t="shared" si="262"/>
        <v>0</v>
      </c>
      <c r="U127" s="134">
        <f t="shared" si="262"/>
        <v>0</v>
      </c>
      <c r="V127" s="134">
        <f t="shared" si="262"/>
        <v>0</v>
      </c>
      <c r="W127" s="134">
        <f t="shared" si="262"/>
        <v>0</v>
      </c>
      <c r="X127" s="134">
        <f t="shared" si="262"/>
        <v>0</v>
      </c>
      <c r="Y127" s="134">
        <f t="shared" si="262"/>
        <v>0</v>
      </c>
      <c r="Z127" s="134">
        <f t="shared" si="262"/>
        <v>0</v>
      </c>
      <c r="AA127" s="134">
        <f t="shared" si="262"/>
        <v>0</v>
      </c>
      <c r="AB127" s="134">
        <f t="shared" si="262"/>
        <v>0</v>
      </c>
      <c r="AC127" s="134">
        <f t="shared" si="262"/>
        <v>0</v>
      </c>
      <c r="AD127" s="134">
        <f t="shared" si="262"/>
        <v>0</v>
      </c>
      <c r="AE127" s="134"/>
      <c r="AF127" s="134"/>
      <c r="AG127" s="134">
        <f t="shared" si="262"/>
        <v>0</v>
      </c>
      <c r="AH127" s="134">
        <f t="shared" si="262"/>
        <v>0</v>
      </c>
      <c r="AI127" s="134">
        <f t="shared" si="262"/>
        <v>0</v>
      </c>
      <c r="AJ127" s="112"/>
      <c r="AK127" s="591"/>
      <c r="AL127" s="134"/>
      <c r="AM127" s="134"/>
      <c r="AN127" s="91"/>
      <c r="AO127" s="272"/>
      <c r="AP127" s="165"/>
      <c r="AQ127" s="158"/>
      <c r="AR127" s="161"/>
      <c r="AS127" s="158"/>
      <c r="AT127" s="158"/>
      <c r="AU127" s="158"/>
      <c r="AV127" s="165"/>
      <c r="AW127" s="169"/>
      <c r="AX127" s="165"/>
      <c r="AY127" s="165"/>
      <c r="AZ127" s="165"/>
      <c r="BA127" s="165"/>
      <c r="BB127" s="165"/>
      <c r="BC127" s="169"/>
      <c r="BD127" s="169"/>
      <c r="BE127" s="169"/>
      <c r="BF127" s="165"/>
      <c r="BK127" s="529"/>
      <c r="BL127" s="165"/>
      <c r="BM127" s="165"/>
      <c r="BN127" s="165"/>
      <c r="BO127" s="165"/>
      <c r="BP127" s="165"/>
      <c r="BQ127" s="165"/>
      <c r="BR127" s="165"/>
      <c r="BS127" s="165"/>
      <c r="BT127" s="183"/>
      <c r="BY127" s="7"/>
    </row>
    <row r="128" ht="63" customHeight="1" spans="1:79">
      <c r="A128" s="23">
        <f>SUBTOTAL(3,C$8:C128)</f>
        <v>87</v>
      </c>
      <c r="B128" s="55" t="s">
        <v>1731</v>
      </c>
      <c r="C128" s="35" t="s">
        <v>810</v>
      </c>
      <c r="D128" s="636" t="s">
        <v>1732</v>
      </c>
      <c r="E128" s="35" t="s">
        <v>812</v>
      </c>
      <c r="F128" s="36">
        <v>4850</v>
      </c>
      <c r="G128" s="36">
        <v>1098</v>
      </c>
      <c r="H128" s="81" t="s">
        <v>131</v>
      </c>
      <c r="I128" s="37">
        <v>200</v>
      </c>
      <c r="J128" s="37">
        <v>600</v>
      </c>
      <c r="K128" s="37">
        <v>800</v>
      </c>
      <c r="L128" s="36">
        <v>3752</v>
      </c>
      <c r="M128" s="36"/>
      <c r="N128" s="36"/>
      <c r="O128" s="36"/>
      <c r="P128" s="112" t="s">
        <v>2713</v>
      </c>
      <c r="Q128" s="112" t="s">
        <v>117</v>
      </c>
      <c r="R128" s="132"/>
      <c r="S128" s="132"/>
      <c r="T128" s="132"/>
      <c r="U128" s="132"/>
      <c r="V128" s="132"/>
      <c r="W128" s="132"/>
      <c r="X128" s="132"/>
      <c r="Y128" s="132"/>
      <c r="Z128" s="132"/>
      <c r="AA128" s="132"/>
      <c r="AB128" s="132"/>
      <c r="AC128" s="132"/>
      <c r="AD128" s="132"/>
      <c r="AE128" s="132"/>
      <c r="AF128" s="132"/>
      <c r="AG128" s="132"/>
      <c r="AH128" s="132"/>
      <c r="AI128" s="90"/>
      <c r="AJ128" s="112" t="s">
        <v>117</v>
      </c>
      <c r="AK128" s="34" t="s">
        <v>1733</v>
      </c>
      <c r="AL128" s="35" t="s">
        <v>2714</v>
      </c>
      <c r="AM128" s="35" t="s">
        <v>269</v>
      </c>
      <c r="AN128" s="91"/>
      <c r="AO128" s="162"/>
      <c r="AP128" s="157"/>
      <c r="AQ128" s="158" t="s">
        <v>2147</v>
      </c>
      <c r="AR128" s="158" t="s">
        <v>2139</v>
      </c>
      <c r="AS128" s="158" t="str">
        <f t="shared" si="249"/>
        <v>社会事业卫生</v>
      </c>
      <c r="AT128" s="158" t="str">
        <f t="shared" si="250"/>
        <v>卫生</v>
      </c>
      <c r="AU128" s="158"/>
      <c r="AV128" s="161"/>
      <c r="AW128" s="161"/>
      <c r="AX128" s="160"/>
      <c r="AY128" s="157"/>
      <c r="AZ128" s="157"/>
      <c r="BA128" s="157"/>
      <c r="BB128" s="157"/>
      <c r="BC128" s="157"/>
      <c r="BD128" s="157"/>
      <c r="BE128" s="157"/>
      <c r="BF128" s="157"/>
      <c r="BG128" s="7" t="s">
        <v>205</v>
      </c>
      <c r="BH128" s="7" t="s">
        <v>2140</v>
      </c>
      <c r="BI128" s="204" t="str">
        <f t="shared" si="251"/>
        <v>政府灵山县人民政府</v>
      </c>
      <c r="BJ128" s="204" t="str">
        <f t="shared" si="252"/>
        <v>民生设施灵山县人民政府</v>
      </c>
      <c r="BK128" s="205">
        <f t="shared" si="253"/>
        <v>0</v>
      </c>
      <c r="BL128" s="157" t="str">
        <f t="shared" si="254"/>
        <v>社会事业卫生1000</v>
      </c>
      <c r="BM128" s="157" t="str">
        <f t="shared" si="255"/>
        <v>社会事业卫生2000</v>
      </c>
      <c r="BN128" s="157" t="str">
        <f t="shared" si="256"/>
        <v/>
      </c>
      <c r="BO128" s="157">
        <f t="shared" si="257"/>
        <v>0</v>
      </c>
      <c r="BP128" s="157">
        <f t="shared" si="258"/>
        <v>0</v>
      </c>
      <c r="BQ128" s="157">
        <f t="shared" si="259"/>
        <v>0</v>
      </c>
      <c r="BR128" s="157">
        <f t="shared" si="260"/>
        <v>0</v>
      </c>
      <c r="BS128" s="157">
        <f t="shared" si="261"/>
        <v>0</v>
      </c>
      <c r="BT128" s="181"/>
      <c r="BU128" s="206"/>
      <c r="BW128" s="7"/>
      <c r="BX128" s="7"/>
      <c r="BY128" s="7"/>
      <c r="BZ128" s="7"/>
      <c r="CA128" s="7"/>
    </row>
    <row r="129" ht="63" customHeight="1" spans="1:79">
      <c r="A129" s="23">
        <f>SUBTOTAL(3,C$8:C129)</f>
        <v>88</v>
      </c>
      <c r="B129" s="55" t="s">
        <v>1806</v>
      </c>
      <c r="C129" s="35" t="s">
        <v>810</v>
      </c>
      <c r="D129" s="34" t="s">
        <v>1807</v>
      </c>
      <c r="E129" s="35" t="s">
        <v>812</v>
      </c>
      <c r="F129" s="36">
        <v>3000</v>
      </c>
      <c r="G129" s="36">
        <v>1200</v>
      </c>
      <c r="H129" s="627" t="s">
        <v>131</v>
      </c>
      <c r="I129" s="37">
        <v>300</v>
      </c>
      <c r="J129" s="37">
        <v>900</v>
      </c>
      <c r="K129" s="37">
        <v>1500</v>
      </c>
      <c r="L129" s="35">
        <v>1800</v>
      </c>
      <c r="M129" s="35"/>
      <c r="N129" s="36"/>
      <c r="O129" s="36"/>
      <c r="P129" s="112"/>
      <c r="Q129" s="112" t="s">
        <v>117</v>
      </c>
      <c r="R129" s="132"/>
      <c r="S129" s="132"/>
      <c r="T129" s="132"/>
      <c r="U129" s="132"/>
      <c r="V129" s="132"/>
      <c r="W129" s="132"/>
      <c r="X129" s="132"/>
      <c r="Y129" s="132"/>
      <c r="Z129" s="132"/>
      <c r="AA129" s="132"/>
      <c r="AB129" s="132"/>
      <c r="AC129" s="132"/>
      <c r="AD129" s="132"/>
      <c r="AE129" s="132"/>
      <c r="AF129" s="132"/>
      <c r="AG129" s="132"/>
      <c r="AH129" s="132"/>
      <c r="AI129" s="90"/>
      <c r="AJ129" s="112" t="s">
        <v>117</v>
      </c>
      <c r="AK129" s="34" t="s">
        <v>1806</v>
      </c>
      <c r="AL129" s="35" t="s">
        <v>2715</v>
      </c>
      <c r="AM129" s="35" t="s">
        <v>269</v>
      </c>
      <c r="AN129" s="91"/>
      <c r="AO129" s="162"/>
      <c r="AP129" s="157"/>
      <c r="AQ129" s="158" t="s">
        <v>2147</v>
      </c>
      <c r="AR129" s="158" t="s">
        <v>2139</v>
      </c>
      <c r="AS129" s="158" t="str">
        <f t="shared" si="249"/>
        <v>社会事业卫生</v>
      </c>
      <c r="AT129" s="158" t="str">
        <f t="shared" si="250"/>
        <v>卫生</v>
      </c>
      <c r="AU129" s="158"/>
      <c r="AV129" s="161"/>
      <c r="AW129" s="161"/>
      <c r="AX129" s="160"/>
      <c r="AY129" s="157"/>
      <c r="AZ129" s="157"/>
      <c r="BA129" s="157"/>
      <c r="BB129" s="157"/>
      <c r="BC129" s="157"/>
      <c r="BD129" s="157"/>
      <c r="BE129" s="157"/>
      <c r="BF129" s="157"/>
      <c r="BG129" s="7" t="s">
        <v>205</v>
      </c>
      <c r="BH129" s="7" t="s">
        <v>2140</v>
      </c>
      <c r="BI129" s="204" t="str">
        <f t="shared" si="251"/>
        <v>政府灵山县人民政府</v>
      </c>
      <c r="BJ129" s="204" t="str">
        <f t="shared" si="252"/>
        <v>民生设施灵山县人民政府</v>
      </c>
      <c r="BK129" s="205">
        <f t="shared" si="253"/>
        <v>0</v>
      </c>
      <c r="BL129" s="157" t="str">
        <f t="shared" si="254"/>
        <v>社会事业卫生1000</v>
      </c>
      <c r="BM129" s="157" t="str">
        <f t="shared" si="255"/>
        <v/>
      </c>
      <c r="BN129" s="157" t="str">
        <f t="shared" si="256"/>
        <v/>
      </c>
      <c r="BO129" s="157">
        <f t="shared" si="257"/>
        <v>0</v>
      </c>
      <c r="BP129" s="157">
        <f t="shared" si="258"/>
        <v>0</v>
      </c>
      <c r="BQ129" s="157">
        <f t="shared" si="259"/>
        <v>0</v>
      </c>
      <c r="BR129" s="157">
        <f t="shared" si="260"/>
        <v>0</v>
      </c>
      <c r="BS129" s="157">
        <f t="shared" si="261"/>
        <v>0</v>
      </c>
      <c r="BT129" s="181"/>
      <c r="BU129" s="206"/>
      <c r="BW129" s="7"/>
      <c r="BX129" s="7"/>
      <c r="BY129" s="7"/>
      <c r="BZ129" s="7"/>
      <c r="CA129" s="7"/>
    </row>
    <row r="130" ht="69" customHeight="1" spans="1:79">
      <c r="A130" s="23">
        <f>SUBTOTAL(3,C$8:C130)</f>
        <v>89</v>
      </c>
      <c r="B130" s="243" t="s">
        <v>1745</v>
      </c>
      <c r="C130" s="35" t="s">
        <v>810</v>
      </c>
      <c r="D130" s="565" t="s">
        <v>1746</v>
      </c>
      <c r="E130" s="35" t="s">
        <v>832</v>
      </c>
      <c r="F130" s="35">
        <v>7447</v>
      </c>
      <c r="G130" s="35">
        <v>5900</v>
      </c>
      <c r="H130" s="81" t="s">
        <v>283</v>
      </c>
      <c r="I130" s="37">
        <v>300</v>
      </c>
      <c r="J130" s="37">
        <v>700</v>
      </c>
      <c r="K130" s="37">
        <v>1100</v>
      </c>
      <c r="L130" s="35">
        <v>1547</v>
      </c>
      <c r="M130" s="35"/>
      <c r="N130" s="36"/>
      <c r="O130" s="36"/>
      <c r="P130" s="34" t="s">
        <v>2716</v>
      </c>
      <c r="Q130" s="112" t="s">
        <v>117</v>
      </c>
      <c r="R130" s="132"/>
      <c r="S130" s="132"/>
      <c r="T130" s="132"/>
      <c r="U130" s="132"/>
      <c r="V130" s="132"/>
      <c r="W130" s="132"/>
      <c r="X130" s="132"/>
      <c r="Y130" s="132"/>
      <c r="Z130" s="132"/>
      <c r="AA130" s="132"/>
      <c r="AB130" s="132"/>
      <c r="AC130" s="132"/>
      <c r="AD130" s="132"/>
      <c r="AE130" s="132"/>
      <c r="AF130" s="132"/>
      <c r="AG130" s="132"/>
      <c r="AH130" s="132"/>
      <c r="AI130" s="90"/>
      <c r="AJ130" s="34" t="s">
        <v>1747</v>
      </c>
      <c r="AK130" s="34" t="s">
        <v>1748</v>
      </c>
      <c r="AL130" s="67" t="s">
        <v>2717</v>
      </c>
      <c r="AM130" s="35" t="s">
        <v>317</v>
      </c>
      <c r="AN130" s="91"/>
      <c r="AO130" s="162"/>
      <c r="AP130" s="157"/>
      <c r="AQ130" s="158" t="s">
        <v>2147</v>
      </c>
      <c r="AR130" s="158" t="s">
        <v>2139</v>
      </c>
      <c r="AS130" s="158" t="str">
        <f t="shared" si="249"/>
        <v>社会事业卫生</v>
      </c>
      <c r="AT130" s="158" t="str">
        <f t="shared" si="250"/>
        <v>卫生</v>
      </c>
      <c r="AU130" s="158"/>
      <c r="AV130" s="161"/>
      <c r="AW130" s="161"/>
      <c r="AX130" s="160"/>
      <c r="AY130" s="157"/>
      <c r="AZ130" s="157"/>
      <c r="BA130" s="157"/>
      <c r="BB130" s="157"/>
      <c r="BC130" s="272"/>
      <c r="BD130" s="272"/>
      <c r="BE130" s="272"/>
      <c r="BF130" s="157"/>
      <c r="BG130" s="7" t="s">
        <v>205</v>
      </c>
      <c r="BH130" s="7" t="s">
        <v>2140</v>
      </c>
      <c r="BI130" s="204" t="str">
        <f t="shared" si="251"/>
        <v>政府浦北县人民政府</v>
      </c>
      <c r="BJ130" s="204" t="str">
        <f t="shared" si="252"/>
        <v>民生设施浦北县人民政府</v>
      </c>
      <c r="BK130" s="205">
        <f t="shared" si="253"/>
        <v>0</v>
      </c>
      <c r="BL130" s="157" t="str">
        <f t="shared" si="254"/>
        <v>社会事业卫生1000</v>
      </c>
      <c r="BM130" s="157" t="str">
        <f t="shared" si="255"/>
        <v/>
      </c>
      <c r="BN130" s="157" t="str">
        <f t="shared" si="256"/>
        <v/>
      </c>
      <c r="BO130" s="157">
        <f t="shared" si="257"/>
        <v>0</v>
      </c>
      <c r="BP130" s="157">
        <f t="shared" si="258"/>
        <v>0</v>
      </c>
      <c r="BQ130" s="157">
        <f t="shared" si="259"/>
        <v>0</v>
      </c>
      <c r="BR130" s="157">
        <f t="shared" si="260"/>
        <v>0</v>
      </c>
      <c r="BS130" s="157">
        <f t="shared" si="261"/>
        <v>0</v>
      </c>
      <c r="BT130" s="157"/>
      <c r="BU130" s="206"/>
      <c r="BW130" s="7"/>
      <c r="BX130" s="7"/>
      <c r="BY130" s="7"/>
      <c r="BZ130" s="7"/>
      <c r="CA130" s="7"/>
    </row>
    <row r="131" ht="13.5" spans="1:72">
      <c r="A131" s="651" t="s">
        <v>2718</v>
      </c>
      <c r="B131" s="652"/>
      <c r="C131" s="653">
        <f>SUBTOTAL(3,C8:C130)</f>
        <v>89</v>
      </c>
      <c r="D131" s="654">
        <v>97</v>
      </c>
      <c r="E131" s="653">
        <f>SUBTOTAL(3,E8:E130)</f>
        <v>89</v>
      </c>
      <c r="F131" s="653">
        <f t="shared" ref="F131:M131" si="263">SUBTOTAL(9,F8:F130)</f>
        <v>5677228.298</v>
      </c>
      <c r="G131" s="653">
        <f t="shared" si="263"/>
        <v>3911442</v>
      </c>
      <c r="H131" s="653"/>
      <c r="I131" s="653">
        <f t="shared" si="263"/>
        <v>429161</v>
      </c>
      <c r="J131" s="653">
        <f t="shared" si="263"/>
        <v>976667</v>
      </c>
      <c r="K131" s="653">
        <f t="shared" si="263"/>
        <v>1365415</v>
      </c>
      <c r="L131" s="653">
        <f t="shared" si="263"/>
        <v>1753708.258</v>
      </c>
      <c r="M131" s="653">
        <f t="shared" si="263"/>
        <v>801900</v>
      </c>
      <c r="N131" s="655"/>
      <c r="O131" s="653"/>
      <c r="P131" s="654">
        <f>SUBTOTAL(3,P8:P130)</f>
        <v>66</v>
      </c>
      <c r="Q131" s="654">
        <f>SUBTOTAL(3,Q8:Q130)</f>
        <v>66</v>
      </c>
      <c r="R131" s="653">
        <f t="shared" ref="R131:T131" si="264">SUBTOTAL(9,R8:R130)</f>
        <v>6952.8877</v>
      </c>
      <c r="S131" s="653">
        <f t="shared" si="264"/>
        <v>6389.9352</v>
      </c>
      <c r="T131" s="653">
        <f t="shared" si="264"/>
        <v>632.11</v>
      </c>
      <c r="U131" s="656"/>
      <c r="V131" s="656"/>
      <c r="W131" s="656"/>
      <c r="X131" s="656"/>
      <c r="Y131" s="656"/>
      <c r="Z131" s="656"/>
      <c r="AA131" s="656"/>
      <c r="AB131" s="656"/>
      <c r="AC131" s="656"/>
      <c r="AD131" s="656"/>
      <c r="AE131" s="656"/>
      <c r="AF131" s="656"/>
      <c r="AG131" s="656"/>
      <c r="AH131" s="656"/>
      <c r="AI131" s="656"/>
      <c r="AJ131" s="654"/>
      <c r="AK131" s="654">
        <f t="shared" ref="AK131:AN131" si="265">SUBTOTAL(3,AK8:AK130)</f>
        <v>89</v>
      </c>
      <c r="AL131" s="653"/>
      <c r="AM131" s="653">
        <f t="shared" si="265"/>
        <v>89</v>
      </c>
      <c r="AN131" s="654">
        <f t="shared" si="265"/>
        <v>9</v>
      </c>
      <c r="AO131" s="657"/>
      <c r="AP131" s="658"/>
      <c r="AQ131" s="657">
        <f t="shared" ref="AQ131:AS131" si="266">SUBTOTAL(3,AQ8:AQ130)</f>
        <v>89</v>
      </c>
      <c r="AR131" s="657">
        <f t="shared" si="266"/>
        <v>89</v>
      </c>
      <c r="AS131" s="657">
        <f t="shared" si="266"/>
        <v>89</v>
      </c>
      <c r="AT131" s="657"/>
      <c r="AU131" s="657">
        <f>SUBTOTAL(3,AU8:AU130)</f>
        <v>0</v>
      </c>
      <c r="AV131" s="658"/>
      <c r="AW131" s="657">
        <f>SUBTOTAL(3,AW8:AW130)</f>
        <v>0</v>
      </c>
      <c r="AX131" s="658">
        <v>442</v>
      </c>
      <c r="AY131" s="658">
        <v>252</v>
      </c>
      <c r="AZ131" s="658">
        <v>442</v>
      </c>
      <c r="BT131" s="659"/>
    </row>
  </sheetData>
  <autoFilter ref="A7:BV130">
    <extLst/>
  </autoFilter>
  <mergeCells count="66">
    <mergeCell ref="A1:L1"/>
    <mergeCell ref="A2:Q2"/>
    <mergeCell ref="A3:AN3"/>
    <mergeCell ref="A4:B4"/>
    <mergeCell ref="AK4:AM4"/>
    <mergeCell ref="H5:M5"/>
    <mergeCell ref="N5:O5"/>
    <mergeCell ref="R5:T5"/>
    <mergeCell ref="U5:W5"/>
    <mergeCell ref="X5:Z5"/>
    <mergeCell ref="AA5:AC5"/>
    <mergeCell ref="AD5:AH5"/>
    <mergeCell ref="BC5:BE5"/>
    <mergeCell ref="A8:D8"/>
    <mergeCell ref="B9:D9"/>
    <mergeCell ref="B42:D42"/>
    <mergeCell ref="B48:D48"/>
    <mergeCell ref="B58:D58"/>
    <mergeCell ref="B85:D85"/>
    <mergeCell ref="B106:D106"/>
    <mergeCell ref="B112:D112"/>
    <mergeCell ref="B123:D123"/>
    <mergeCell ref="A5:A6"/>
    <mergeCell ref="B5:B6"/>
    <mergeCell ref="C5:C6"/>
    <mergeCell ref="D5:D6"/>
    <mergeCell ref="E5:E6"/>
    <mergeCell ref="F5:F6"/>
    <mergeCell ref="G5:G6"/>
    <mergeCell ref="P5:P6"/>
    <mergeCell ref="Q5:Q6"/>
    <mergeCell ref="AI5:AI6"/>
    <mergeCell ref="AJ5:AJ6"/>
    <mergeCell ref="AK5:AK6"/>
    <mergeCell ref="AL5:AL6"/>
    <mergeCell ref="AM5:AM6"/>
    <mergeCell ref="AN5:AN6"/>
    <mergeCell ref="AO5:AO6"/>
    <mergeCell ref="AP5:AP6"/>
    <mergeCell ref="AQ5:AQ6"/>
    <mergeCell ref="AR5:AR6"/>
    <mergeCell ref="AS5:AS6"/>
    <mergeCell ref="AT5:AT6"/>
    <mergeCell ref="AU5:AU6"/>
    <mergeCell ref="AV5:AV6"/>
    <mergeCell ref="AW5:AW6"/>
    <mergeCell ref="AX5:AX6"/>
    <mergeCell ref="AY5:AY6"/>
    <mergeCell ref="AZ5:AZ6"/>
    <mergeCell ref="BA5:BA6"/>
    <mergeCell ref="BB5:BB6"/>
    <mergeCell ref="BF5:BF6"/>
    <mergeCell ref="BG5:BG6"/>
    <mergeCell ref="BH5:BH6"/>
    <mergeCell ref="BK5:BK6"/>
    <mergeCell ref="BL5:BL6"/>
    <mergeCell ref="BM5:BM6"/>
    <mergeCell ref="BN5:BN6"/>
    <mergeCell ref="BO5:BO6"/>
    <mergeCell ref="BP5:BP6"/>
    <mergeCell ref="BQ5:BQ6"/>
    <mergeCell ref="BR5:BR6"/>
    <mergeCell ref="BS5:BS6"/>
    <mergeCell ref="BT5:BT6"/>
    <mergeCell ref="BU5:BU6"/>
    <mergeCell ref="BW5:BW6"/>
  </mergeCells>
  <printOptions horizontalCentered="1"/>
  <pageMargins left="0.2" right="0.2" top="0.509722222222222" bottom="0.55" header="0.509722222222222" footer="0.279861111111111"/>
  <pageSetup paperSize="9" scale="66" firstPageNumber="4294963191" fitToHeight="0" orientation="landscape" blackAndWhite="1" useFirstPageNumber="1"/>
  <headerFooter alignWithMargins="0">
    <oddFooter>&amp;C第 &amp;P 页，共 &amp;N 页</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AH67"/>
  <sheetViews>
    <sheetView showZeros="0" zoomScale="70" zoomScaleNormal="70" workbookViewId="0">
      <pane ySplit="6" topLeftCell="A7" activePane="bottomLeft" state="frozen"/>
      <selection/>
      <selection pane="bottomLeft" activeCell="AM56" sqref="AM56"/>
    </sheetView>
  </sheetViews>
  <sheetFormatPr defaultColWidth="9" defaultRowHeight="12"/>
  <cols>
    <col min="1" max="1" width="8.71428571428571" style="470" customWidth="1"/>
    <col min="2" max="2" width="30" style="470" customWidth="1"/>
    <col min="3" max="3" width="12.5714285714286" style="471" customWidth="1"/>
    <col min="4" max="4" width="16.7142857142857" style="470" customWidth="1"/>
    <col min="5" max="5" width="14.7142857142857" style="470" customWidth="1"/>
    <col min="6" max="6" width="14" style="470" customWidth="1"/>
    <col min="7" max="7" width="8.71428571428571" style="470" customWidth="1"/>
    <col min="8" max="8" width="12.2857142857143" style="472" hidden="1" customWidth="1"/>
    <col min="9" max="9" width="11.2857142857143" style="473" hidden="1" customWidth="1"/>
    <col min="10" max="10" width="9.71428571428571" style="474" customWidth="1"/>
    <col min="11" max="11" width="16.7142857142857" style="474" hidden="1" customWidth="1"/>
    <col min="12" max="12" width="14.7142857142857" style="475" customWidth="1"/>
    <col min="13" max="13" width="11" style="475" hidden="1" customWidth="1"/>
    <col min="14" max="14" width="13.8571428571429" style="476" hidden="1" customWidth="1"/>
    <col min="15" max="16" width="11.2857142857143" style="477" hidden="1" customWidth="1"/>
    <col min="17" max="17" width="11.2857142857143" style="478" hidden="1" customWidth="1"/>
    <col min="18" max="18" width="9.71428571428571" style="475" customWidth="1"/>
    <col min="19" max="19" width="16.8571428571429" style="475" hidden="1" customWidth="1"/>
    <col min="20" max="20" width="14.5714285714286" style="475" hidden="1" customWidth="1"/>
    <col min="21" max="21" width="14.8571428571429" style="474" customWidth="1"/>
    <col min="22" max="22" width="8.57142857142857" style="474" hidden="1" customWidth="1"/>
    <col min="23" max="23" width="13.4285714285714" style="476" hidden="1" customWidth="1"/>
    <col min="24" max="24" width="12.7142857142857" style="477" hidden="1" customWidth="1"/>
    <col min="25" max="25" width="9.57142857142857" style="477" hidden="1" customWidth="1"/>
    <col min="26" max="26" width="9.71428571428571" style="479" customWidth="1"/>
    <col min="27" max="27" width="14.1428571428571" style="475" hidden="1" customWidth="1"/>
    <col min="28" max="28" width="13.8571428571429" style="475" hidden="1" customWidth="1"/>
    <col min="29" max="29" width="13.7142857142857" style="474" customWidth="1"/>
    <col min="30" max="30" width="9.28571428571429" style="470" hidden="1" customWidth="1"/>
    <col min="31" max="31" width="11.8571428571429" style="476" hidden="1" customWidth="1"/>
    <col min="32" max="33" width="12.2857142857143" style="477" hidden="1" customWidth="1"/>
    <col min="34" max="34" width="12.2857142857143" style="478" hidden="1" customWidth="1"/>
    <col min="35" max="16384" width="9" style="470"/>
  </cols>
  <sheetData>
    <row r="1" ht="13.5" customHeight="1"/>
    <row r="2" s="466" customFormat="1" ht="79.5" customHeight="1" spans="1:34">
      <c r="A2" s="480" t="s">
        <v>2719</v>
      </c>
      <c r="B2" s="480"/>
      <c r="C2" s="480"/>
      <c r="D2" s="480"/>
      <c r="E2" s="480"/>
      <c r="F2" s="480"/>
      <c r="G2" s="480"/>
      <c r="H2" s="480"/>
      <c r="I2" s="480"/>
      <c r="J2" s="480"/>
      <c r="K2" s="480"/>
      <c r="L2" s="480"/>
      <c r="M2" s="480"/>
      <c r="N2" s="480"/>
      <c r="O2" s="480"/>
      <c r="P2" s="480"/>
      <c r="Q2" s="480"/>
      <c r="R2" s="480"/>
      <c r="S2" s="480"/>
      <c r="T2" s="480"/>
      <c r="U2" s="480"/>
      <c r="V2" s="480"/>
      <c r="W2" s="480"/>
      <c r="X2" s="480"/>
      <c r="Y2" s="480"/>
      <c r="Z2" s="480"/>
      <c r="AA2" s="480"/>
      <c r="AB2" s="480"/>
      <c r="AC2" s="480"/>
      <c r="AD2" s="480"/>
      <c r="AE2" s="510"/>
      <c r="AF2" s="511"/>
      <c r="AG2" s="511"/>
      <c r="AH2" s="518"/>
    </row>
    <row r="3" s="467" customFormat="1" ht="20.1" customHeight="1" spans="1:34">
      <c r="A3" s="481"/>
      <c r="B3" s="481"/>
      <c r="C3" s="481"/>
      <c r="D3" s="482"/>
      <c r="E3" s="483"/>
      <c r="F3" s="483"/>
      <c r="G3" s="483"/>
      <c r="H3" s="484"/>
      <c r="I3" s="500"/>
      <c r="J3" s="431"/>
      <c r="K3" s="431"/>
      <c r="L3" s="483"/>
      <c r="M3" s="483"/>
      <c r="N3" s="501"/>
      <c r="O3" s="502"/>
      <c r="P3" s="502"/>
      <c r="Q3" s="500"/>
      <c r="R3" s="483"/>
      <c r="S3" s="483"/>
      <c r="T3" s="483"/>
      <c r="U3" s="431" t="s">
        <v>3</v>
      </c>
      <c r="V3" s="431"/>
      <c r="W3" s="501"/>
      <c r="X3" s="502"/>
      <c r="Y3" s="502"/>
      <c r="Z3" s="512"/>
      <c r="AA3" s="483"/>
      <c r="AB3" s="483"/>
      <c r="AC3" s="431"/>
      <c r="AE3" s="501"/>
      <c r="AF3" s="502"/>
      <c r="AG3" s="502"/>
      <c r="AH3" s="500"/>
    </row>
    <row r="4" s="468" customFormat="1" ht="30" customHeight="1" spans="1:34">
      <c r="A4" s="395" t="s">
        <v>1695</v>
      </c>
      <c r="B4" s="395" t="s">
        <v>2720</v>
      </c>
      <c r="C4" s="395" t="s">
        <v>2721</v>
      </c>
      <c r="D4" s="395" t="s">
        <v>2722</v>
      </c>
      <c r="E4" s="395" t="s">
        <v>2723</v>
      </c>
      <c r="F4" s="395" t="s">
        <v>2724</v>
      </c>
      <c r="G4" s="395" t="s">
        <v>2725</v>
      </c>
      <c r="H4" s="485" t="s">
        <v>2726</v>
      </c>
      <c r="I4" s="503" t="s">
        <v>2727</v>
      </c>
      <c r="J4" s="395" t="s">
        <v>2728</v>
      </c>
      <c r="K4" s="395"/>
      <c r="L4" s="395"/>
      <c r="M4" s="395"/>
      <c r="N4" s="391"/>
      <c r="O4" s="391"/>
      <c r="P4" s="391"/>
      <c r="Q4" s="392"/>
      <c r="R4" s="395" t="s">
        <v>2729</v>
      </c>
      <c r="S4" s="395"/>
      <c r="T4" s="395"/>
      <c r="U4" s="395"/>
      <c r="V4" s="395"/>
      <c r="W4" s="391"/>
      <c r="X4" s="391"/>
      <c r="Y4" s="392"/>
      <c r="Z4" s="390" t="s">
        <v>2730</v>
      </c>
      <c r="AA4" s="391"/>
      <c r="AB4" s="391"/>
      <c r="AC4" s="392"/>
      <c r="AD4" s="408"/>
      <c r="AE4" s="433"/>
      <c r="AF4" s="408"/>
      <c r="AG4" s="408"/>
      <c r="AH4" s="408"/>
    </row>
    <row r="5" s="468" customFormat="1" ht="57.6" customHeight="1" spans="1:34">
      <c r="A5" s="395"/>
      <c r="B5" s="395"/>
      <c r="C5" s="395"/>
      <c r="D5" s="395"/>
      <c r="E5" s="395"/>
      <c r="F5" s="395"/>
      <c r="G5" s="395"/>
      <c r="H5" s="485"/>
      <c r="I5" s="503"/>
      <c r="J5" s="395" t="s">
        <v>2731</v>
      </c>
      <c r="K5" s="395" t="s">
        <v>1700</v>
      </c>
      <c r="L5" s="395" t="s">
        <v>1709</v>
      </c>
      <c r="M5" s="395" t="s">
        <v>2732</v>
      </c>
      <c r="N5" s="409" t="s">
        <v>2733</v>
      </c>
      <c r="O5" s="397" t="s">
        <v>2727</v>
      </c>
      <c r="P5" s="397" t="s">
        <v>2734</v>
      </c>
      <c r="Q5" s="455" t="s">
        <v>2735</v>
      </c>
      <c r="R5" s="395" t="s">
        <v>2731</v>
      </c>
      <c r="S5" s="395" t="s">
        <v>1700</v>
      </c>
      <c r="T5" s="395" t="s">
        <v>2723</v>
      </c>
      <c r="U5" s="395" t="s">
        <v>1709</v>
      </c>
      <c r="V5" s="395" t="s">
        <v>2732</v>
      </c>
      <c r="W5" s="409" t="s">
        <v>2733</v>
      </c>
      <c r="X5" s="397" t="s">
        <v>2727</v>
      </c>
      <c r="Y5" s="397" t="s">
        <v>2736</v>
      </c>
      <c r="Z5" s="513" t="s">
        <v>2731</v>
      </c>
      <c r="AA5" s="395" t="s">
        <v>1700</v>
      </c>
      <c r="AB5" s="395" t="s">
        <v>2723</v>
      </c>
      <c r="AC5" s="395" t="s">
        <v>1709</v>
      </c>
      <c r="AD5" s="395" t="s">
        <v>2732</v>
      </c>
      <c r="AE5" s="409" t="s">
        <v>2733</v>
      </c>
      <c r="AF5" s="397" t="s">
        <v>2727</v>
      </c>
      <c r="AG5" s="397" t="s">
        <v>2737</v>
      </c>
      <c r="AH5" s="455" t="s">
        <v>2738</v>
      </c>
    </row>
    <row r="6" s="468" customFormat="1" ht="22.9" customHeight="1" spans="1:34">
      <c r="A6" s="395"/>
      <c r="B6" s="395"/>
      <c r="C6" s="395"/>
      <c r="D6" s="395"/>
      <c r="E6" s="395"/>
      <c r="F6" s="395"/>
      <c r="G6" s="395"/>
      <c r="H6" s="486"/>
      <c r="I6" s="455"/>
      <c r="J6" s="395"/>
      <c r="K6" s="395"/>
      <c r="L6" s="395"/>
      <c r="M6" s="395"/>
      <c r="N6" s="409"/>
      <c r="O6" s="397"/>
      <c r="P6" s="397"/>
      <c r="Q6" s="455"/>
      <c r="R6" s="395"/>
      <c r="S6" s="395"/>
      <c r="T6" s="395"/>
      <c r="U6" s="395"/>
      <c r="V6" s="395"/>
      <c r="W6" s="409"/>
      <c r="X6" s="397"/>
      <c r="Y6" s="397"/>
      <c r="Z6" s="513"/>
      <c r="AA6" s="395"/>
      <c r="AB6" s="395"/>
      <c r="AC6" s="395"/>
      <c r="AD6" s="514"/>
      <c r="AE6" s="409"/>
      <c r="AF6" s="397"/>
      <c r="AG6" s="397"/>
      <c r="AH6" s="455"/>
    </row>
    <row r="7" s="468" customFormat="1" ht="45" customHeight="1" spans="1:34">
      <c r="A7" s="487" t="s">
        <v>2739</v>
      </c>
      <c r="B7" s="487"/>
      <c r="C7" s="488">
        <f t="shared" ref="C7:F7" si="0">SUM(C8,C18,C29,C34,C40,C47,C52,C56)</f>
        <v>410</v>
      </c>
      <c r="D7" s="488">
        <f t="shared" si="0"/>
        <v>26027936.946</v>
      </c>
      <c r="E7" s="488">
        <f t="shared" si="0"/>
        <v>3083293.4</v>
      </c>
      <c r="F7" s="488">
        <f t="shared" si="0"/>
        <v>3321353.886</v>
      </c>
      <c r="G7" s="489">
        <f>F7/$F$7</f>
        <v>1</v>
      </c>
      <c r="H7" s="490">
        <f t="shared" ref="H7:L7" si="1">SUM(H8,H18,H29,H34,H40,H47,H52,H56)</f>
        <v>0</v>
      </c>
      <c r="I7" s="504">
        <f>H7/F7</f>
        <v>0</v>
      </c>
      <c r="J7" s="488">
        <f t="shared" si="1"/>
        <v>168</v>
      </c>
      <c r="K7" s="505">
        <f t="shared" si="1"/>
        <v>14489091.25</v>
      </c>
      <c r="L7" s="488">
        <f t="shared" si="1"/>
        <v>1239981.8</v>
      </c>
      <c r="M7" s="506">
        <f>L7/F7</f>
        <v>0.37333624857824</v>
      </c>
      <c r="N7" s="507">
        <f t="shared" ref="N7:U7" si="2">SUM(N8,N18,N29,N34,N40,N47,N52,N56)</f>
        <v>0</v>
      </c>
      <c r="O7" s="397">
        <f>N7/L7</f>
        <v>0</v>
      </c>
      <c r="P7" s="505">
        <f t="shared" si="2"/>
        <v>0</v>
      </c>
      <c r="Q7" s="455">
        <f>P7/J7</f>
        <v>0</v>
      </c>
      <c r="R7" s="488">
        <f t="shared" si="2"/>
        <v>153</v>
      </c>
      <c r="S7" s="505">
        <f t="shared" si="2"/>
        <v>9524374.59</v>
      </c>
      <c r="T7" s="505">
        <f t="shared" si="2"/>
        <v>1700558.4</v>
      </c>
      <c r="U7" s="488">
        <f t="shared" si="2"/>
        <v>1453662</v>
      </c>
      <c r="V7" s="506">
        <f>U7/F7</f>
        <v>0.437671518872891</v>
      </c>
      <c r="W7" s="507">
        <f t="shared" ref="W7:AC7" si="3">SUM(W8,W18,W29,W34,W40,W47,W52,W56)</f>
        <v>0</v>
      </c>
      <c r="X7" s="397">
        <f>W7/U7</f>
        <v>0</v>
      </c>
      <c r="Y7" s="505" t="e">
        <f t="shared" si="3"/>
        <v>#REF!</v>
      </c>
      <c r="Z7" s="515">
        <f t="shared" si="3"/>
        <v>89</v>
      </c>
      <c r="AA7" s="505">
        <f t="shared" si="3"/>
        <v>2014471.106</v>
      </c>
      <c r="AB7" s="505">
        <f t="shared" si="3"/>
        <v>1382735</v>
      </c>
      <c r="AC7" s="488">
        <f t="shared" si="3"/>
        <v>627710.086</v>
      </c>
      <c r="AD7" s="506">
        <f>AC7/F7</f>
        <v>0.188992232548868</v>
      </c>
      <c r="AE7" s="507">
        <f>SUM(AE8,AE18,AE29,AE34,AE40,AE47,AE52,AE56)</f>
        <v>0</v>
      </c>
      <c r="AF7" s="397">
        <f>AE7/AC7</f>
        <v>0</v>
      </c>
      <c r="AG7" s="505">
        <f>SUM(AG8,AG18,AG29,AG34,AG40,AG47,AG52,AG56)</f>
        <v>0</v>
      </c>
      <c r="AH7" s="455">
        <f>AG7/Z7</f>
        <v>0</v>
      </c>
    </row>
    <row r="8" s="469" customFormat="1" ht="33" customHeight="1" spans="1:34">
      <c r="A8" s="491" t="s">
        <v>76</v>
      </c>
      <c r="B8" s="492" t="s">
        <v>91</v>
      </c>
      <c r="C8" s="493">
        <f>SUM(C9:C17)</f>
        <v>107</v>
      </c>
      <c r="D8" s="493">
        <f t="shared" ref="D8:K8" si="4">SUM(D9:D17)</f>
        <v>13693134</v>
      </c>
      <c r="E8" s="493">
        <f t="shared" si="4"/>
        <v>656888</v>
      </c>
      <c r="F8" s="493">
        <f t="shared" si="4"/>
        <v>1300632</v>
      </c>
      <c r="G8" s="494">
        <f>F8/$F$7</f>
        <v>0.391596934455662</v>
      </c>
      <c r="H8" s="490">
        <f t="shared" si="4"/>
        <v>0</v>
      </c>
      <c r="I8" s="504">
        <f t="shared" ref="I8:I61" si="5">H8/F8</f>
        <v>0</v>
      </c>
      <c r="J8" s="493">
        <f t="shared" si="4"/>
        <v>54</v>
      </c>
      <c r="K8" s="493">
        <f t="shared" si="4"/>
        <v>10875412</v>
      </c>
      <c r="L8" s="493">
        <f t="shared" ref="L8:T8" si="6">SUM(L9:L17)</f>
        <v>753350</v>
      </c>
      <c r="M8" s="397">
        <f>L8/F8</f>
        <v>0.579218410741855</v>
      </c>
      <c r="N8" s="508">
        <f t="shared" si="6"/>
        <v>0</v>
      </c>
      <c r="O8" s="397">
        <f t="shared" ref="O8:O61" si="7">N8/L8</f>
        <v>0</v>
      </c>
      <c r="P8" s="493">
        <f t="shared" si="6"/>
        <v>0</v>
      </c>
      <c r="Q8" s="455">
        <f t="shared" ref="Q8:Q61" si="8">P8/J8</f>
        <v>0</v>
      </c>
      <c r="R8" s="493">
        <f t="shared" si="6"/>
        <v>29</v>
      </c>
      <c r="S8" s="493">
        <f t="shared" si="6"/>
        <v>2463274</v>
      </c>
      <c r="T8" s="493">
        <f t="shared" si="6"/>
        <v>418222</v>
      </c>
      <c r="U8" s="493">
        <f t="shared" ref="U8:AC8" si="9">SUM(U9:U17)</f>
        <v>431500</v>
      </c>
      <c r="V8" s="397">
        <f>U8/F8</f>
        <v>0.33176178965303</v>
      </c>
      <c r="W8" s="508">
        <f t="shared" si="9"/>
        <v>0</v>
      </c>
      <c r="X8" s="397">
        <f t="shared" ref="X8:X61" si="10">W8/U8</f>
        <v>0</v>
      </c>
      <c r="Y8" s="493">
        <f t="shared" si="9"/>
        <v>0</v>
      </c>
      <c r="Z8" s="516">
        <f t="shared" si="9"/>
        <v>24</v>
      </c>
      <c r="AA8" s="493">
        <f t="shared" si="9"/>
        <v>354448</v>
      </c>
      <c r="AB8" s="493">
        <f t="shared" si="9"/>
        <v>238666</v>
      </c>
      <c r="AC8" s="493">
        <f t="shared" si="9"/>
        <v>115782</v>
      </c>
      <c r="AD8" s="397">
        <f>AC8/F8</f>
        <v>0.0890197996051151</v>
      </c>
      <c r="AE8" s="508">
        <f>SUM(AE9:AE17)</f>
        <v>0</v>
      </c>
      <c r="AF8" s="397">
        <f t="shared" ref="AF8:AF61" si="11">AE8/AC8</f>
        <v>0</v>
      </c>
      <c r="AG8" s="493">
        <f>SUM(AG9:AG17)</f>
        <v>0</v>
      </c>
      <c r="AH8" s="455">
        <f t="shared" ref="AH8:AH61" si="12">AG8/Z8</f>
        <v>0</v>
      </c>
    </row>
    <row r="9" s="469" customFormat="1" ht="34.5" hidden="1" customHeight="1" spans="1:34">
      <c r="A9" s="491"/>
      <c r="B9" s="495" t="s">
        <v>90</v>
      </c>
      <c r="C9" s="496">
        <f t="shared" ref="C9:D16" si="13">J9+R9+Z9</f>
        <v>14</v>
      </c>
      <c r="D9" s="496">
        <f t="shared" si="13"/>
        <v>8248744</v>
      </c>
      <c r="E9" s="496">
        <f t="shared" ref="E9:E61" si="14">T9+AB9</f>
        <v>182118</v>
      </c>
      <c r="F9" s="496">
        <f t="shared" ref="F9:F17" si="15">L9+U9+AC9</f>
        <v>444089</v>
      </c>
      <c r="G9" s="496"/>
      <c r="H9" s="497">
        <f t="shared" ref="H9:H17" si="16">N9+W9+AE9</f>
        <v>0</v>
      </c>
      <c r="I9" s="504">
        <f t="shared" si="5"/>
        <v>0</v>
      </c>
      <c r="J9" s="493">
        <f>COUNTIF(开!AZ$8:AZ$213,$B$8&amp;$B9)</f>
        <v>10</v>
      </c>
      <c r="K9" s="493">
        <f>SUMIF(开!$AZ$8:$AZ$213,$B$8&amp;$B9,开!$F$8:$F$213)</f>
        <v>7032343</v>
      </c>
      <c r="L9" s="509">
        <f>SUMIF(开!$AZ$8:$AZ$213,$B$8&amp;$B9,开!$L$8:$L$213)</f>
        <v>186000</v>
      </c>
      <c r="M9" s="509"/>
      <c r="N9" s="509">
        <f>SUMIF(开!$AZ$8:$AZ$213,$B$8&amp;$B9,开!$P$8:$P$213)</f>
        <v>0</v>
      </c>
      <c r="O9" s="397">
        <f t="shared" si="7"/>
        <v>0</v>
      </c>
      <c r="P9" s="509">
        <f>SUMIF(开!$AZ$8:$AZ$213,$B$8&amp;$B9,开!$BO$8:$BO$213)</f>
        <v>0</v>
      </c>
      <c r="Q9" s="455">
        <f t="shared" si="8"/>
        <v>0</v>
      </c>
      <c r="R9" s="493">
        <f>COUNTIF('续 '!AR$8:AR$198,$B$8&amp;$B9)</f>
        <v>2</v>
      </c>
      <c r="S9" s="493">
        <f>SUMIF('续 '!$AR$8:$AR$198,$B$8&amp;$B9,'续 '!$F$8:$F$198)</f>
        <v>1152401</v>
      </c>
      <c r="T9" s="509">
        <f>SUMIF('续 '!$AR$8:$AR$198,$B$8&amp;$B9,'续 '!$G$8:$G$198)</f>
        <v>123207</v>
      </c>
      <c r="U9" s="493">
        <f>SUMIF('续 '!$AR$8:$AR$198,$B$8&amp;$B9,'续 '!$L$8:$L$198)</f>
        <v>253000</v>
      </c>
      <c r="V9" s="493"/>
      <c r="W9" s="493">
        <f>SUMIF('续 '!$AR$8:$AR$198,$B$8&amp;$B9,'续 '!$O$8:$O$198)</f>
        <v>0</v>
      </c>
      <c r="X9" s="397">
        <f t="shared" si="10"/>
        <v>0</v>
      </c>
      <c r="Y9" s="493">
        <f>SUMIF('续 '!$AR$8:$AR$198,$B$8&amp;$B9,'续 '!$BJ$8:$BJ$198)</f>
        <v>0</v>
      </c>
      <c r="Z9" s="516">
        <f>COUNTIF(竣!AS$8:AS$130,$B$8&amp;$B9)</f>
        <v>2</v>
      </c>
      <c r="AA9" s="493">
        <f>SUMIF(竣!AS$8:AS$130,$B$8&amp;$B9,竣!F$8:F$130)</f>
        <v>64000</v>
      </c>
      <c r="AB9" s="509">
        <f>SUMIF(竣!AS$8:AS$130,$B$8&amp;$B9,竣!G$8:G$130)</f>
        <v>58911</v>
      </c>
      <c r="AC9" s="493">
        <f>SUMIF(竣!AS$8:AS$130,$B$8&amp;$B9,竣!L$8:L$130)</f>
        <v>5089</v>
      </c>
      <c r="AD9" s="517"/>
      <c r="AE9" s="493">
        <f>SUMIF(竣!$AS$8:$AS$130,$B$8&amp;$B9,竣!O$8:O$130)</f>
        <v>0</v>
      </c>
      <c r="AF9" s="397">
        <f t="shared" si="11"/>
        <v>0</v>
      </c>
      <c r="AG9" s="493">
        <f>SUMIF(竣!AS$8:AS$130,$B$8&amp;$B9,竣!BK$8:BK$130)</f>
        <v>0</v>
      </c>
      <c r="AH9" s="455">
        <f t="shared" si="12"/>
        <v>0</v>
      </c>
    </row>
    <row r="10" s="469" customFormat="1" ht="35.1" hidden="1" customHeight="1" spans="1:34">
      <c r="A10" s="491"/>
      <c r="B10" s="495" t="s">
        <v>270</v>
      </c>
      <c r="C10" s="496">
        <f t="shared" si="13"/>
        <v>12</v>
      </c>
      <c r="D10" s="496">
        <f t="shared" si="13"/>
        <v>782820</v>
      </c>
      <c r="E10" s="496">
        <f t="shared" si="14"/>
        <v>55450</v>
      </c>
      <c r="F10" s="496">
        <f t="shared" si="15"/>
        <v>89850</v>
      </c>
      <c r="G10" s="496"/>
      <c r="H10" s="497">
        <f t="shared" si="16"/>
        <v>0</v>
      </c>
      <c r="I10" s="504">
        <f t="shared" si="5"/>
        <v>0</v>
      </c>
      <c r="J10" s="493">
        <f>COUNTIF(开!AZ$8:AZ$213,$B$8&amp;$B10)</f>
        <v>10</v>
      </c>
      <c r="K10" s="493">
        <f>SUMIF(开!$AZ$8:$AZ$213,$B$8&amp;$B10,开!$F$8:$F$213)</f>
        <v>679820</v>
      </c>
      <c r="L10" s="509">
        <f>SUMIF(开!$AZ$8:$AZ$213,$B$8&amp;$B10,开!$L$8:$L$213)</f>
        <v>57350</v>
      </c>
      <c r="M10" s="509"/>
      <c r="N10" s="509">
        <f>SUMIF(开!$AZ$8:$AZ$213,$B$8&amp;$B10,开!$P$8:$P$213)</f>
        <v>0</v>
      </c>
      <c r="O10" s="397">
        <f t="shared" si="7"/>
        <v>0</v>
      </c>
      <c r="P10" s="509">
        <f>SUMIF(开!$AZ$8:$AZ$213,$B$8&amp;$B10,开!$BO$8:$BO$213)</f>
        <v>0</v>
      </c>
      <c r="Q10" s="455">
        <f t="shared" si="8"/>
        <v>0</v>
      </c>
      <c r="R10" s="493">
        <f>COUNTIF('续 '!AR$8:AR$198,$B$8&amp;$B10)</f>
        <v>1</v>
      </c>
      <c r="S10" s="493">
        <f>SUMIF('续 '!$AR$8:$AR$198,$B$8&amp;$B10,'续 '!$F$8:$F$198)</f>
        <v>100000</v>
      </c>
      <c r="T10" s="509">
        <f>SUMIF('续 '!$AR$8:$AR$198,$B$8&amp;$B10,'续 '!$G$8:$G$198)</f>
        <v>54950</v>
      </c>
      <c r="U10" s="493">
        <f>SUMIF('续 '!$AR$8:$AR$198,$B$8&amp;$B10,'续 '!$L$8:$L$198)</f>
        <v>30000</v>
      </c>
      <c r="V10" s="493"/>
      <c r="W10" s="493">
        <f>SUMIF('续 '!$AR$8:$AR$198,$B$8&amp;$B10,'续 '!$O$8:$O$198)</f>
        <v>0</v>
      </c>
      <c r="X10" s="397">
        <f t="shared" si="10"/>
        <v>0</v>
      </c>
      <c r="Y10" s="493">
        <f>SUMIF('续 '!$AR$8:$AR$198,$B$8&amp;$B10,'续 '!$BJ$8:$BJ$198)</f>
        <v>0</v>
      </c>
      <c r="Z10" s="516">
        <f>COUNTIF(竣!AS$8:AS$130,$B$8&amp;$B10)</f>
        <v>1</v>
      </c>
      <c r="AA10" s="493">
        <f>SUMIF(竣!AS$8:AS$130,$B$8&amp;$B10,竣!F$8:F$130)</f>
        <v>3000</v>
      </c>
      <c r="AB10" s="509">
        <f>SUMIF(竣!AS$8:AS$130,$B$8&amp;$B10,竣!G$8:G$130)</f>
        <v>500</v>
      </c>
      <c r="AC10" s="493">
        <f>SUMIF(竣!AS$8:AS$130,$B$8&amp;$B10,竣!L$8:L$130)</f>
        <v>2500</v>
      </c>
      <c r="AD10" s="517"/>
      <c r="AE10" s="493">
        <f>SUMIF(竣!$AS$8:$AS$130,$B$8&amp;$B10,竣!O$8:O$130)</f>
        <v>0</v>
      </c>
      <c r="AF10" s="397">
        <f t="shared" si="11"/>
        <v>0</v>
      </c>
      <c r="AG10" s="493">
        <f>SUMIF(竣!AS$8:AS$130,$B$8&amp;$B10,竣!BK$8:BK$130)</f>
        <v>0</v>
      </c>
      <c r="AH10" s="455">
        <f t="shared" si="12"/>
        <v>0</v>
      </c>
    </row>
    <row r="11" s="469" customFormat="1" ht="35.1" hidden="1" customHeight="1" spans="1:34">
      <c r="A11" s="491"/>
      <c r="B11" s="495" t="s">
        <v>318</v>
      </c>
      <c r="C11" s="496">
        <f t="shared" si="13"/>
        <v>17</v>
      </c>
      <c r="D11" s="496">
        <f t="shared" si="13"/>
        <v>213733</v>
      </c>
      <c r="E11" s="496">
        <f t="shared" si="14"/>
        <v>15100</v>
      </c>
      <c r="F11" s="496">
        <f t="shared" si="15"/>
        <v>76000</v>
      </c>
      <c r="G11" s="496"/>
      <c r="H11" s="497">
        <f t="shared" si="16"/>
        <v>0</v>
      </c>
      <c r="I11" s="504">
        <f t="shared" si="5"/>
        <v>0</v>
      </c>
      <c r="J11" s="493">
        <f>COUNTIF(开!AZ$8:AZ$213,$B$8&amp;$B11)</f>
        <v>8</v>
      </c>
      <c r="K11" s="493">
        <f>SUMIF(开!$AZ$8:$AZ$213,$B$8&amp;$B11,开!$F$8:$F$213)</f>
        <v>125275</v>
      </c>
      <c r="L11" s="509">
        <f>SUMIF(开!$AZ$8:$AZ$213,$B$8&amp;$B11,开!$L$8:$L$213)</f>
        <v>25500</v>
      </c>
      <c r="M11" s="509"/>
      <c r="N11" s="509">
        <f>SUMIF(开!$AZ$8:$AZ$213,$B$8&amp;$B11,开!$P$8:$P$213)</f>
        <v>0</v>
      </c>
      <c r="O11" s="397">
        <f t="shared" si="7"/>
        <v>0</v>
      </c>
      <c r="P11" s="509">
        <f>SUMIF(开!$AZ$8:$AZ$213,$B$8&amp;$B11,开!$BO$8:$BO$213)</f>
        <v>0</v>
      </c>
      <c r="Q11" s="455">
        <f t="shared" si="8"/>
        <v>0</v>
      </c>
      <c r="R11" s="493">
        <f>COUNTIF('续 '!AR$8:AR$198,$B$8&amp;$B11)</f>
        <v>5</v>
      </c>
      <c r="S11" s="493">
        <f>SUMIF('续 '!$AR$8:$AR$198,$B$8&amp;$B11,'续 '!$F$8:$F$198)</f>
        <v>59758</v>
      </c>
      <c r="T11" s="509">
        <f>SUMIF('续 '!$AR$8:$AR$198,$B$8&amp;$B11,'续 '!$G$8:$G$198)</f>
        <v>10900</v>
      </c>
      <c r="U11" s="493">
        <f>SUMIF('续 '!$AR$8:$AR$198,$B$8&amp;$B11,'续 '!$L$8:$L$198)</f>
        <v>26000</v>
      </c>
      <c r="V11" s="493"/>
      <c r="W11" s="493">
        <f>SUMIF('续 '!$AR$8:$AR$198,$B$8&amp;$B11,'续 '!$O$8:$O$198)</f>
        <v>0</v>
      </c>
      <c r="X11" s="397">
        <f t="shared" si="10"/>
        <v>0</v>
      </c>
      <c r="Y11" s="493">
        <f>SUMIF('续 '!$AR$8:$AR$198,$B$8&amp;$B11,'续 '!$BJ$8:$BJ$198)</f>
        <v>0</v>
      </c>
      <c r="Z11" s="516">
        <f>COUNTIF(竣!AS$8:AS$130,$B$8&amp;$B11)</f>
        <v>4</v>
      </c>
      <c r="AA11" s="493">
        <f>SUMIF(竣!AS$8:AS$130,$B$8&amp;$B11,竣!F$8:F$130)</f>
        <v>28700</v>
      </c>
      <c r="AB11" s="509">
        <f>SUMIF(竣!AS$8:AS$130,$B$8&amp;$B11,竣!G$8:G$130)</f>
        <v>4200</v>
      </c>
      <c r="AC11" s="493">
        <f>SUMIF(竣!AS$8:AS$130,$B$8&amp;$B11,竣!L$8:L$130)</f>
        <v>24500</v>
      </c>
      <c r="AD11" s="517"/>
      <c r="AE11" s="493">
        <f>SUMIF(竣!$AS$8:$AS$130,$B$8&amp;$B11,竣!O$8:O$130)</f>
        <v>0</v>
      </c>
      <c r="AF11" s="397">
        <f t="shared" si="11"/>
        <v>0</v>
      </c>
      <c r="AG11" s="493">
        <f>SUMIF(竣!AS$8:AS$130,$B$8&amp;$B11,竣!BK$8:BK$130)</f>
        <v>0</v>
      </c>
      <c r="AH11" s="455">
        <f t="shared" si="12"/>
        <v>0</v>
      </c>
    </row>
    <row r="12" s="469" customFormat="1" ht="35.1" hidden="1" customHeight="1" spans="1:34">
      <c r="A12" s="491"/>
      <c r="B12" s="495" t="s">
        <v>360</v>
      </c>
      <c r="C12" s="496">
        <f t="shared" si="13"/>
        <v>8</v>
      </c>
      <c r="D12" s="496">
        <f t="shared" si="13"/>
        <v>111800</v>
      </c>
      <c r="E12" s="496">
        <f t="shared" si="14"/>
        <v>50062</v>
      </c>
      <c r="F12" s="496">
        <f t="shared" si="15"/>
        <v>32965</v>
      </c>
      <c r="G12" s="496"/>
      <c r="H12" s="497">
        <f t="shared" si="16"/>
        <v>0</v>
      </c>
      <c r="I12" s="504">
        <f t="shared" si="5"/>
        <v>0</v>
      </c>
      <c r="J12" s="493">
        <f>COUNTIF(开!AZ$8:AZ$213,$B$8&amp;$B12)</f>
        <v>2</v>
      </c>
      <c r="K12" s="493">
        <f>SUMIF(开!$AZ$8:$AZ$213,$B$8&amp;$B12,开!$F$8:$F$213)</f>
        <v>18000</v>
      </c>
      <c r="L12" s="509">
        <f>SUMIF(开!$AZ$8:$AZ$213,$B$8&amp;$B12,开!$L$8:$L$213)</f>
        <v>11000</v>
      </c>
      <c r="M12" s="509"/>
      <c r="N12" s="509">
        <f>SUMIF(开!$AZ$8:$AZ$213,$B$8&amp;$B12,开!$P$8:$P$213)</f>
        <v>0</v>
      </c>
      <c r="O12" s="397">
        <f t="shared" si="7"/>
        <v>0</v>
      </c>
      <c r="P12" s="509">
        <f>SUMIF(开!$AZ$8:$AZ$213,$B$8&amp;$B12,开!$BO$8:$BO$213)</f>
        <v>0</v>
      </c>
      <c r="Q12" s="455">
        <f t="shared" si="8"/>
        <v>0</v>
      </c>
      <c r="R12" s="493">
        <f>COUNTIF('续 '!AR$8:AR$198,$B$8&amp;$B12)</f>
        <v>3</v>
      </c>
      <c r="S12" s="493">
        <f>SUMIF('续 '!$AR$8:$AR$198,$B$8&amp;$B12,'续 '!$F$8:$F$198)</f>
        <v>63200</v>
      </c>
      <c r="T12" s="509">
        <f>SUMIF('续 '!$AR$8:$AR$198,$B$8&amp;$B12,'续 '!$G$8:$G$198)</f>
        <v>26427</v>
      </c>
      <c r="U12" s="493">
        <f>SUMIF('续 '!$AR$8:$AR$198,$B$8&amp;$B12,'续 '!$L$8:$L$198)</f>
        <v>15000</v>
      </c>
      <c r="V12" s="493"/>
      <c r="W12" s="493">
        <f>SUMIF('续 '!$AR$8:$AR$198,$B$8&amp;$B12,'续 '!$O$8:$O$198)</f>
        <v>0</v>
      </c>
      <c r="X12" s="397">
        <f t="shared" si="10"/>
        <v>0</v>
      </c>
      <c r="Y12" s="493">
        <f>SUMIF('续 '!$AR$8:$AR$198,$B$8&amp;$B12,'续 '!$BJ$8:$BJ$198)</f>
        <v>0</v>
      </c>
      <c r="Z12" s="516">
        <f>COUNTIF(竣!AS$8:AS$130,$B$8&amp;$B12)</f>
        <v>3</v>
      </c>
      <c r="AA12" s="493">
        <f>SUMIF(竣!AS$8:AS$130,$B$8&amp;$B12,竣!F$8:F$130)</f>
        <v>30600</v>
      </c>
      <c r="AB12" s="509">
        <f>SUMIF(竣!AS$8:AS$130,$B$8&amp;$B12,竣!G$8:G$130)</f>
        <v>23635</v>
      </c>
      <c r="AC12" s="493">
        <f>SUMIF(竣!AS$8:AS$130,$B$8&amp;$B12,竣!L$8:L$130)</f>
        <v>6965</v>
      </c>
      <c r="AD12" s="517"/>
      <c r="AE12" s="493">
        <f>SUMIF(竣!$AS$8:$AS$130,$B$8&amp;$B12,竣!O$8:O$130)</f>
        <v>0</v>
      </c>
      <c r="AF12" s="397">
        <f t="shared" si="11"/>
        <v>0</v>
      </c>
      <c r="AG12" s="493">
        <f>SUMIF(竣!AS$8:AS$130,$B$8&amp;$B12,竣!BK$8:BK$130)</f>
        <v>0</v>
      </c>
      <c r="AH12" s="455">
        <f t="shared" si="12"/>
        <v>0</v>
      </c>
    </row>
    <row r="13" s="469" customFormat="1" ht="35.1" hidden="1" customHeight="1" spans="1:34">
      <c r="A13" s="491"/>
      <c r="B13" s="495" t="s">
        <v>376</v>
      </c>
      <c r="C13" s="496">
        <f t="shared" si="13"/>
        <v>16</v>
      </c>
      <c r="D13" s="496">
        <f t="shared" si="13"/>
        <v>392443</v>
      </c>
      <c r="E13" s="496">
        <f t="shared" si="14"/>
        <v>41653</v>
      </c>
      <c r="F13" s="496">
        <f t="shared" si="15"/>
        <v>78828</v>
      </c>
      <c r="G13" s="496"/>
      <c r="H13" s="497">
        <f t="shared" si="16"/>
        <v>0</v>
      </c>
      <c r="I13" s="504">
        <f t="shared" si="5"/>
        <v>0</v>
      </c>
      <c r="J13" s="493">
        <f>COUNTIF(开!AZ$8:AZ$213,$B$8&amp;$B13)</f>
        <v>7</v>
      </c>
      <c r="K13" s="493">
        <f>SUMIF(开!$AZ$8:$AZ$213,$B$8&amp;$B13,开!$F$8:$F$213)</f>
        <v>145300</v>
      </c>
      <c r="L13" s="509">
        <f>SUMIF(开!$AZ$8:$AZ$213,$B$8&amp;$B13,开!$L$8:$L$213)</f>
        <v>35000</v>
      </c>
      <c r="M13" s="509"/>
      <c r="N13" s="509">
        <f>SUMIF(开!$AZ$8:$AZ$213,$B$8&amp;$B13,开!$P$8:$P$213)</f>
        <v>0</v>
      </c>
      <c r="O13" s="397">
        <f t="shared" si="7"/>
        <v>0</v>
      </c>
      <c r="P13" s="509">
        <f>SUMIF(开!$AZ$8:$AZ$213,$B$8&amp;$B13,开!$BO$8:$BO$213)</f>
        <v>0</v>
      </c>
      <c r="Q13" s="455">
        <f t="shared" si="8"/>
        <v>0</v>
      </c>
      <c r="R13" s="493">
        <f>COUNTIF('续 '!AR$8:AR$198,$B$8&amp;$B13)</f>
        <v>5</v>
      </c>
      <c r="S13" s="493">
        <f>SUMIF('续 '!$AR$8:$AR$198,$B$8&amp;$B13,'续 '!$F$8:$F$198)</f>
        <v>208115</v>
      </c>
      <c r="T13" s="509">
        <f>SUMIF('续 '!$AR$8:$AR$198,$B$8&amp;$B13,'续 '!$G$8:$G$198)</f>
        <v>18453</v>
      </c>
      <c r="U13" s="493">
        <f>SUMIF('续 '!$AR$8:$AR$198,$B$8&amp;$B13,'续 '!$L$8:$L$198)</f>
        <v>28000</v>
      </c>
      <c r="V13" s="493"/>
      <c r="W13" s="493">
        <f>SUMIF('续 '!$AR$8:$AR$198,$B$8&amp;$B13,'续 '!$O$8:$O$198)</f>
        <v>0</v>
      </c>
      <c r="X13" s="397">
        <f t="shared" si="10"/>
        <v>0</v>
      </c>
      <c r="Y13" s="493">
        <f>SUMIF('续 '!$AR$8:$AR$198,$B$8&amp;$B13,'续 '!$BJ$8:$BJ$198)</f>
        <v>0</v>
      </c>
      <c r="Z13" s="516">
        <f>COUNTIF(竣!AS$8:AS$130,$B$8&amp;$B13)</f>
        <v>4</v>
      </c>
      <c r="AA13" s="493">
        <f>SUMIF(竣!AS$8:AS$130,$B$8&amp;$B13,竣!F$8:F$130)</f>
        <v>39028</v>
      </c>
      <c r="AB13" s="509">
        <f>SUMIF(竣!AS$8:AS$130,$B$8&amp;$B13,竣!G$8:G$130)</f>
        <v>23200</v>
      </c>
      <c r="AC13" s="493">
        <f>SUMIF(竣!AS$8:AS$130,$B$8&amp;$B13,竣!L$8:L$130)</f>
        <v>15828</v>
      </c>
      <c r="AD13" s="517"/>
      <c r="AE13" s="493">
        <f>SUMIF(竣!$AS$8:$AS$130,$B$8&amp;$B13,竣!O$8:O$130)</f>
        <v>0</v>
      </c>
      <c r="AF13" s="397">
        <f t="shared" si="11"/>
        <v>0</v>
      </c>
      <c r="AG13" s="493">
        <f>SUMIF(竣!AS$8:AS$130,$B$8&amp;$B13,竣!BK$8:BK$130)</f>
        <v>0</v>
      </c>
      <c r="AH13" s="455">
        <f t="shared" si="12"/>
        <v>0</v>
      </c>
    </row>
    <row r="14" s="469" customFormat="1" ht="35.1" hidden="1" customHeight="1" spans="1:34">
      <c r="A14" s="491"/>
      <c r="B14" s="495" t="s">
        <v>241</v>
      </c>
      <c r="C14" s="496">
        <f t="shared" si="13"/>
        <v>13</v>
      </c>
      <c r="D14" s="496">
        <f t="shared" si="13"/>
        <v>362820</v>
      </c>
      <c r="E14" s="496">
        <f t="shared" si="14"/>
        <v>51643</v>
      </c>
      <c r="F14" s="496">
        <f t="shared" si="15"/>
        <v>125500</v>
      </c>
      <c r="G14" s="496"/>
      <c r="H14" s="497">
        <f t="shared" si="16"/>
        <v>0</v>
      </c>
      <c r="I14" s="504">
        <f t="shared" si="5"/>
        <v>0</v>
      </c>
      <c r="J14" s="493">
        <f>COUNTIF(开!AZ$8:AZ$213,$B$8&amp;$B14)</f>
        <v>4</v>
      </c>
      <c r="K14" s="493">
        <f>SUMIF(开!$AZ$8:$AZ$213,$B$8&amp;$B14,开!$F$8:$F$213)</f>
        <v>222020</v>
      </c>
      <c r="L14" s="509">
        <f>SUMIF(开!$AZ$8:$AZ$213,$B$8&amp;$B14,开!$L$8:$L$213)</f>
        <v>72000</v>
      </c>
      <c r="M14" s="509"/>
      <c r="N14" s="509">
        <f>SUMIF(开!$AZ$8:$AZ$213,$B$8&amp;$B14,开!$P$8:$P$213)</f>
        <v>0</v>
      </c>
      <c r="O14" s="397">
        <f t="shared" si="7"/>
        <v>0</v>
      </c>
      <c r="P14" s="509">
        <f>SUMIF(开!$AZ$8:$AZ$213,$B$8&amp;$B14,开!$BO$8:$BO$213)</f>
        <v>0</v>
      </c>
      <c r="Q14" s="455">
        <f t="shared" si="8"/>
        <v>0</v>
      </c>
      <c r="R14" s="493">
        <f>COUNTIF('续 '!AR$8:AR$198,$B$8&amp;$B14)</f>
        <v>2</v>
      </c>
      <c r="S14" s="493">
        <f>SUMIF('续 '!$AR$8:$AR$198,$B$8&amp;$B14,'续 '!$F$8:$F$198)</f>
        <v>49000</v>
      </c>
      <c r="T14" s="509">
        <f>SUMIF('续 '!$AR$8:$AR$198,$B$8&amp;$B14,'续 '!$G$8:$G$198)</f>
        <v>7343</v>
      </c>
      <c r="U14" s="493">
        <f>SUMIF('续 '!$AR$8:$AR$198,$B$8&amp;$B14,'续 '!$L$8:$L$198)</f>
        <v>6000</v>
      </c>
      <c r="V14" s="493"/>
      <c r="W14" s="493">
        <f>SUMIF('续 '!$AR$8:$AR$198,$B$8&amp;$B14,'续 '!$O$8:$O$198)</f>
        <v>0</v>
      </c>
      <c r="X14" s="397">
        <f t="shared" si="10"/>
        <v>0</v>
      </c>
      <c r="Y14" s="493">
        <f>SUMIF('续 '!$AR$8:$AR$198,$B$8&amp;$B14,'续 '!$BJ$8:$BJ$198)</f>
        <v>0</v>
      </c>
      <c r="Z14" s="516">
        <f>COUNTIF(竣!AS$8:AS$130,$B$8&amp;$B14)</f>
        <v>7</v>
      </c>
      <c r="AA14" s="493">
        <f>SUMIF(竣!AS$8:AS$130,$B$8&amp;$B14,竣!F$8:F$130)</f>
        <v>91800</v>
      </c>
      <c r="AB14" s="509">
        <f>SUMIF(竣!AS$8:AS$130,$B$8&amp;$B14,竣!G$8:G$130)</f>
        <v>44300</v>
      </c>
      <c r="AC14" s="493">
        <f>SUMIF(竣!AS$8:AS$130,$B$8&amp;$B14,竣!L$8:L$130)</f>
        <v>47500</v>
      </c>
      <c r="AD14" s="517"/>
      <c r="AE14" s="493">
        <f>SUMIF(竣!$AS$8:$AS$130,$B$8&amp;$B14,竣!O$8:O$130)</f>
        <v>0</v>
      </c>
      <c r="AF14" s="397">
        <f t="shared" si="11"/>
        <v>0</v>
      </c>
      <c r="AG14" s="493">
        <f>SUMIF(竣!AS$8:AS$130,$B$8&amp;$B14,竣!BK$8:BK$130)</f>
        <v>0</v>
      </c>
      <c r="AH14" s="455">
        <f t="shared" si="12"/>
        <v>0</v>
      </c>
    </row>
    <row r="15" s="469" customFormat="1" ht="35.1" hidden="1" customHeight="1" spans="1:34">
      <c r="A15" s="491"/>
      <c r="B15" s="495" t="s">
        <v>167</v>
      </c>
      <c r="C15" s="496">
        <f t="shared" si="13"/>
        <v>6</v>
      </c>
      <c r="D15" s="496">
        <f t="shared" si="13"/>
        <v>43933</v>
      </c>
      <c r="E15" s="496">
        <f t="shared" si="14"/>
        <v>9726</v>
      </c>
      <c r="F15" s="496">
        <f t="shared" si="15"/>
        <v>22000</v>
      </c>
      <c r="G15" s="496"/>
      <c r="H15" s="497">
        <f t="shared" si="16"/>
        <v>0</v>
      </c>
      <c r="I15" s="504">
        <f t="shared" si="5"/>
        <v>0</v>
      </c>
      <c r="J15" s="493">
        <f>COUNTIF(开!AZ$8:AZ$213,$B$8&amp;$B15)</f>
        <v>3</v>
      </c>
      <c r="K15" s="493">
        <f>SUMIF(开!$AZ$8:$AZ$213,$B$8&amp;$B15,开!$F$8:$F$213)</f>
        <v>20333</v>
      </c>
      <c r="L15" s="509">
        <f>SUMIF(开!$AZ$8:$AZ$213,$B$8&amp;$B15,开!$L$8:$L$213)</f>
        <v>11000</v>
      </c>
      <c r="M15" s="509"/>
      <c r="N15" s="509">
        <f>SUMIF(开!$AZ$8:$AZ$213,$B$8&amp;$B15,开!$P$8:$P$213)</f>
        <v>0</v>
      </c>
      <c r="O15" s="397">
        <f t="shared" si="7"/>
        <v>0</v>
      </c>
      <c r="P15" s="509">
        <f>SUMIF(开!$AZ$8:$AZ$213,$B$8&amp;$B15,开!$BO$8:$BO$213)</f>
        <v>0</v>
      </c>
      <c r="Q15" s="455">
        <f t="shared" si="8"/>
        <v>0</v>
      </c>
      <c r="R15" s="493">
        <f>COUNTIF('续 '!AR$8:AR$198,$B$8&amp;$B15)</f>
        <v>2</v>
      </c>
      <c r="S15" s="493">
        <f>SUMIF('续 '!$AR$8:$AR$198,$B$8&amp;$B15,'续 '!$F$8:$F$198)</f>
        <v>18600</v>
      </c>
      <c r="T15" s="509">
        <f>SUMIF('续 '!$AR$8:$AR$198,$B$8&amp;$B15,'续 '!$G$8:$G$198)</f>
        <v>8726</v>
      </c>
      <c r="U15" s="493">
        <f>SUMIF('续 '!$AR$8:$AR$198,$B$8&amp;$B15,'续 '!$L$8:$L$198)</f>
        <v>7000</v>
      </c>
      <c r="V15" s="493"/>
      <c r="W15" s="493">
        <f>SUMIF('续 '!$AR$8:$AR$198,$B$8&amp;$B15,'续 '!$O$8:$O$198)</f>
        <v>0</v>
      </c>
      <c r="X15" s="397">
        <f t="shared" si="10"/>
        <v>0</v>
      </c>
      <c r="Y15" s="493">
        <f>SUMIF('续 '!$AR$8:$AR$198,$B$8&amp;$B15,'续 '!$BJ$8:$BJ$198)</f>
        <v>0</v>
      </c>
      <c r="Z15" s="516">
        <f>COUNTIF(竣!AS$8:AS$130,$B$8&amp;$B15)</f>
        <v>1</v>
      </c>
      <c r="AA15" s="493">
        <f>SUMIF(竣!AS$8:AS$130,$B$8&amp;$B15,竣!F$8:F$130)</f>
        <v>5000</v>
      </c>
      <c r="AB15" s="509">
        <f>SUMIF(竣!AS$8:AS$130,$B$8&amp;$B15,竣!G$8:G$130)</f>
        <v>1000</v>
      </c>
      <c r="AC15" s="493">
        <f>SUMIF(竣!AS$8:AS$130,$B$8&amp;$B15,竣!L$8:L$130)</f>
        <v>4000</v>
      </c>
      <c r="AD15" s="517"/>
      <c r="AE15" s="493">
        <f>SUMIF(竣!$AS$8:$AS$130,$B$8&amp;$B15,竣!O$8:O$130)</f>
        <v>0</v>
      </c>
      <c r="AF15" s="397">
        <f t="shared" si="11"/>
        <v>0</v>
      </c>
      <c r="AG15" s="493">
        <f>SUMIF(竣!AS$8:AS$130,$B$8&amp;$B15,竣!BK$8:BK$130)</f>
        <v>0</v>
      </c>
      <c r="AH15" s="455">
        <f t="shared" si="12"/>
        <v>0</v>
      </c>
    </row>
    <row r="16" s="469" customFormat="1" ht="35.1" hidden="1" customHeight="1" spans="1:34">
      <c r="A16" s="491"/>
      <c r="B16" s="495" t="s">
        <v>186</v>
      </c>
      <c r="C16" s="496">
        <f t="shared" si="13"/>
        <v>20</v>
      </c>
      <c r="D16" s="496">
        <f t="shared" si="13"/>
        <v>3496841</v>
      </c>
      <c r="E16" s="496">
        <f t="shared" si="14"/>
        <v>243120</v>
      </c>
      <c r="F16" s="496">
        <f t="shared" si="15"/>
        <v>421400</v>
      </c>
      <c r="G16" s="496"/>
      <c r="H16" s="497">
        <f t="shared" si="16"/>
        <v>0</v>
      </c>
      <c r="I16" s="504">
        <f t="shared" si="5"/>
        <v>0</v>
      </c>
      <c r="J16" s="493">
        <f>COUNTIF(开!AZ$8:AZ$213,$B$8&amp;$B16)</f>
        <v>10</v>
      </c>
      <c r="K16" s="493">
        <f>SUMIF(开!$AZ$8:$AZ$213,$B$8&amp;$B16,开!$F$8:$F$213)</f>
        <v>2632321</v>
      </c>
      <c r="L16" s="509">
        <f>SUMIF(开!$AZ$8:$AZ$213,$B$8&amp;$B16,开!$L$8:$L$213)</f>
        <v>355500</v>
      </c>
      <c r="M16" s="509"/>
      <c r="N16" s="509">
        <f>SUMIF(开!$AZ$8:$AZ$213,$B$8&amp;$B16,开!$P$8:$P$213)</f>
        <v>0</v>
      </c>
      <c r="O16" s="397">
        <f t="shared" si="7"/>
        <v>0</v>
      </c>
      <c r="P16" s="509">
        <f>SUMIF(开!$AZ$8:$AZ$213,$B$8&amp;$B16,开!$BO$8:$BO$213)</f>
        <v>0</v>
      </c>
      <c r="Q16" s="455">
        <f t="shared" si="8"/>
        <v>0</v>
      </c>
      <c r="R16" s="493">
        <f>COUNTIF('续 '!AR$8:AR$198,$B$8&amp;$B16)</f>
        <v>8</v>
      </c>
      <c r="S16" s="493">
        <f>SUMIF('续 '!$AR$8:$AR$198,$B$8&amp;$B16,'续 '!$F$8:$F$198)</f>
        <v>772200</v>
      </c>
      <c r="T16" s="509">
        <f>SUMIF('续 '!$AR$8:$AR$198,$B$8&amp;$B16,'续 '!$G$8:$G$198)</f>
        <v>160200</v>
      </c>
      <c r="U16" s="493">
        <f>SUMIF('续 '!$AR$8:$AR$198,$B$8&amp;$B16,'续 '!$L$8:$L$198)</f>
        <v>56500</v>
      </c>
      <c r="V16" s="493"/>
      <c r="W16" s="493">
        <f>SUMIF('续 '!$AR$8:$AR$198,$B$8&amp;$B16,'续 '!$O$8:$O$198)</f>
        <v>0</v>
      </c>
      <c r="X16" s="397">
        <f t="shared" si="10"/>
        <v>0</v>
      </c>
      <c r="Y16" s="493">
        <f>SUMIF('续 '!$AR$8:$AR$198,$B$8&amp;$B16,'续 '!$BJ$8:$BJ$198)</f>
        <v>0</v>
      </c>
      <c r="Z16" s="516">
        <f>COUNTIF(竣!AS$8:AS$130,$B$8&amp;$B16)</f>
        <v>2</v>
      </c>
      <c r="AA16" s="493">
        <f>SUMIF(竣!AS$8:AS$130,$B$8&amp;$B16,竣!F$8:F$130)</f>
        <v>92320</v>
      </c>
      <c r="AB16" s="509">
        <f>SUMIF(竣!AS$8:AS$130,$B$8&amp;$B16,竣!G$8:G$130)</f>
        <v>82920</v>
      </c>
      <c r="AC16" s="493">
        <f>SUMIF(竣!AS$8:AS$130,$B$8&amp;$B16,竣!L$8:L$130)</f>
        <v>9400</v>
      </c>
      <c r="AD16" s="517"/>
      <c r="AE16" s="493">
        <f>SUMIF(竣!$AS$8:$AS$130,$B$8&amp;$B16,竣!O$8:O$130)</f>
        <v>0</v>
      </c>
      <c r="AF16" s="397">
        <f t="shared" si="11"/>
        <v>0</v>
      </c>
      <c r="AG16" s="493">
        <f>SUMIF(竣!AS$8:AS$130,$B$8&amp;$B16,竣!BK$8:BK$130)</f>
        <v>0</v>
      </c>
      <c r="AH16" s="455">
        <f t="shared" si="12"/>
        <v>0</v>
      </c>
    </row>
    <row r="17" s="469" customFormat="1" ht="35.1" hidden="1" customHeight="1" spans="1:34">
      <c r="A17" s="491"/>
      <c r="B17" s="495" t="s">
        <v>505</v>
      </c>
      <c r="C17" s="496">
        <f>J17+R17+Z17</f>
        <v>1</v>
      </c>
      <c r="D17" s="496">
        <f>K17+S17+AA17</f>
        <v>40000</v>
      </c>
      <c r="E17" s="496">
        <f t="shared" si="14"/>
        <v>8016</v>
      </c>
      <c r="F17" s="496">
        <f t="shared" si="15"/>
        <v>10000</v>
      </c>
      <c r="G17" s="496"/>
      <c r="H17" s="497">
        <f t="shared" si="16"/>
        <v>0</v>
      </c>
      <c r="I17" s="504">
        <f t="shared" si="5"/>
        <v>0</v>
      </c>
      <c r="J17" s="493">
        <f>COUNTIF(开!AZ$8:AZ$213,$B$8&amp;$B17)</f>
        <v>0</v>
      </c>
      <c r="K17" s="493">
        <f>SUMIF(开!$AZ$8:$AZ$213,$B$8&amp;$B17,开!$F$8:$F$213)</f>
        <v>0</v>
      </c>
      <c r="L17" s="509">
        <f>SUMIF(开!$AZ$8:$AZ$213,$B$8&amp;$B17,开!$L$8:$L$213)</f>
        <v>0</v>
      </c>
      <c r="M17" s="509"/>
      <c r="N17" s="509">
        <f>SUMIF(开!$AZ$8:$AZ$213,$B$8&amp;$B17,开!$P$8:$P$213)</f>
        <v>0</v>
      </c>
      <c r="O17" s="397" t="e">
        <f t="shared" si="7"/>
        <v>#DIV/0!</v>
      </c>
      <c r="P17" s="509">
        <f>SUMIF(开!$AZ$8:$AZ$213,$B$8&amp;$B17,开!$BO$8:$BO$213)</f>
        <v>0</v>
      </c>
      <c r="Q17" s="455" t="e">
        <f t="shared" si="8"/>
        <v>#DIV/0!</v>
      </c>
      <c r="R17" s="493">
        <f>COUNTIF('续 '!AR$8:AR$198,$B$8&amp;$B17)</f>
        <v>1</v>
      </c>
      <c r="S17" s="493">
        <f>SUMIF('续 '!$AR$8:$AR$198,$B$8&amp;$B17,'续 '!$F$8:$F$198)</f>
        <v>40000</v>
      </c>
      <c r="T17" s="509">
        <f>SUMIF('续 '!$AR$8:$AR$198,$B$8&amp;$B17,'续 '!$G$8:$G$198)</f>
        <v>8016</v>
      </c>
      <c r="U17" s="493">
        <f>SUMIF('续 '!$AR$8:$AR$198,$B$8&amp;$B17,'续 '!$L$8:$L$198)</f>
        <v>10000</v>
      </c>
      <c r="V17" s="493"/>
      <c r="W17" s="493">
        <f>SUMIF('续 '!$AR$8:$AR$198,$B$8&amp;$B17,'续 '!$O$8:$O$198)</f>
        <v>0</v>
      </c>
      <c r="X17" s="397">
        <f t="shared" si="10"/>
        <v>0</v>
      </c>
      <c r="Y17" s="493">
        <f>SUMIF('续 '!$AR$8:$AR$198,$B$8&amp;$B17,'续 '!$BJ$8:$BJ$198)</f>
        <v>0</v>
      </c>
      <c r="Z17" s="516">
        <f>COUNTIF(竣!AS$8:AS$130,$B$8&amp;$B17)</f>
        <v>0</v>
      </c>
      <c r="AA17" s="493">
        <f>SUMIF(竣!AS$8:AS$130,$B$8&amp;$B17,竣!F$8:F$130)</f>
        <v>0</v>
      </c>
      <c r="AB17" s="509">
        <f>SUMIF(竣!AS$8:AS$130,$B$8&amp;$B17,竣!G$8:G$130)</f>
        <v>0</v>
      </c>
      <c r="AC17" s="493">
        <f>SUMIF(竣!AS$8:AS$130,$B$8&amp;$B17,竣!L$8:L$130)</f>
        <v>0</v>
      </c>
      <c r="AD17" s="517"/>
      <c r="AE17" s="493">
        <f>SUMIF(竣!$AS$8:$AS$130,$B$8&amp;$B17,竣!O$8:O$130)</f>
        <v>0</v>
      </c>
      <c r="AF17" s="397" t="e">
        <f t="shared" si="11"/>
        <v>#DIV/0!</v>
      </c>
      <c r="AG17" s="493">
        <f>SUMIF(竣!AS$8:AS$130,$B$8&amp;$B17,竣!BK$8:BK$130)</f>
        <v>0</v>
      </c>
      <c r="AH17" s="455" t="e">
        <f t="shared" si="12"/>
        <v>#DIV/0!</v>
      </c>
    </row>
    <row r="18" s="469" customFormat="1" ht="31.9" customHeight="1" spans="1:34">
      <c r="A18" s="491" t="s">
        <v>560</v>
      </c>
      <c r="B18" s="492" t="s">
        <v>420</v>
      </c>
      <c r="C18" s="493">
        <f t="shared" ref="C18:F18" si="17">SUM(C19:C28)</f>
        <v>16</v>
      </c>
      <c r="D18" s="493">
        <f t="shared" si="17"/>
        <v>1027619</v>
      </c>
      <c r="E18" s="493">
        <f t="shared" si="17"/>
        <v>319416</v>
      </c>
      <c r="F18" s="493">
        <f t="shared" si="17"/>
        <v>257120</v>
      </c>
      <c r="G18" s="494">
        <f>F18/$F$7</f>
        <v>0.0774142138492977</v>
      </c>
      <c r="H18" s="498">
        <f>SUM(H19:H28)</f>
        <v>0</v>
      </c>
      <c r="I18" s="504">
        <f t="shared" si="5"/>
        <v>0</v>
      </c>
      <c r="J18" s="493">
        <f>SUM(J19:J28)</f>
        <v>6</v>
      </c>
      <c r="K18" s="493">
        <f t="shared" ref="K18:AE18" si="18">SUM(K19:K28)</f>
        <v>303849</v>
      </c>
      <c r="L18" s="493">
        <f t="shared" si="18"/>
        <v>76000</v>
      </c>
      <c r="M18" s="397">
        <f>L18/F18</f>
        <v>0.295581829495955</v>
      </c>
      <c r="N18" s="508">
        <f>SUM(N19:N28)</f>
        <v>0</v>
      </c>
      <c r="O18" s="397">
        <f t="shared" si="7"/>
        <v>0</v>
      </c>
      <c r="P18" s="493">
        <f>SUM(P19:P28)</f>
        <v>0</v>
      </c>
      <c r="Q18" s="455">
        <f t="shared" si="8"/>
        <v>0</v>
      </c>
      <c r="R18" s="493">
        <f t="shared" si="18"/>
        <v>5</v>
      </c>
      <c r="S18" s="493">
        <f t="shared" si="18"/>
        <v>385240</v>
      </c>
      <c r="T18" s="493">
        <f t="shared" si="18"/>
        <v>90006</v>
      </c>
      <c r="U18" s="493">
        <f t="shared" si="18"/>
        <v>72000</v>
      </c>
      <c r="V18" s="397">
        <f>U18/F18</f>
        <v>0.280024891101431</v>
      </c>
      <c r="W18" s="508">
        <f>SUM(W19:W28)</f>
        <v>0</v>
      </c>
      <c r="X18" s="397">
        <f t="shared" si="10"/>
        <v>0</v>
      </c>
      <c r="Y18" s="493">
        <f>SUM(Y19:Y28)</f>
        <v>0</v>
      </c>
      <c r="Z18" s="516">
        <f t="shared" si="18"/>
        <v>5</v>
      </c>
      <c r="AA18" s="493">
        <f t="shared" si="18"/>
        <v>338530</v>
      </c>
      <c r="AB18" s="493">
        <f t="shared" si="18"/>
        <v>229410</v>
      </c>
      <c r="AC18" s="493">
        <f t="shared" si="18"/>
        <v>109120</v>
      </c>
      <c r="AD18" s="397">
        <f>AC18/F18</f>
        <v>0.424393279402614</v>
      </c>
      <c r="AE18" s="508">
        <f t="shared" si="18"/>
        <v>0</v>
      </c>
      <c r="AF18" s="397">
        <f t="shared" si="11"/>
        <v>0</v>
      </c>
      <c r="AG18" s="493">
        <f>SUM(AG19:AG28)</f>
        <v>0</v>
      </c>
      <c r="AH18" s="455">
        <f t="shared" si="12"/>
        <v>0</v>
      </c>
    </row>
    <row r="19" s="469" customFormat="1" ht="35.1" hidden="1" customHeight="1" spans="1:34">
      <c r="A19" s="491"/>
      <c r="B19" s="495" t="s">
        <v>90</v>
      </c>
      <c r="C19" s="496">
        <f t="shared" ref="C19:C28" si="19">J19+R19+Z19</f>
        <v>0</v>
      </c>
      <c r="D19" s="496">
        <f t="shared" ref="D19:D28" si="20">K19+S19+AA19</f>
        <v>0</v>
      </c>
      <c r="E19" s="496">
        <f t="shared" ref="E19:E28" si="21">T19+AB19</f>
        <v>0</v>
      </c>
      <c r="F19" s="496">
        <f t="shared" ref="F19:F28" si="22">L19+U19+AC19</f>
        <v>0</v>
      </c>
      <c r="G19" s="496"/>
      <c r="H19" s="497">
        <f t="shared" ref="H19:H28" si="23">N19+W19+AE19</f>
        <v>0</v>
      </c>
      <c r="I19" s="504" t="e">
        <f t="shared" si="5"/>
        <v>#DIV/0!</v>
      </c>
      <c r="J19" s="493">
        <f>COUNTIF(开!AZ$8:AZ$213,$B$18&amp;$B19)</f>
        <v>0</v>
      </c>
      <c r="K19" s="493">
        <f>SUMIF(开!$AZ$8:$AZ$213,$B$18&amp;$B19,开!$F$8:$F$213)</f>
        <v>0</v>
      </c>
      <c r="L19" s="509">
        <f>SUMIF(开!$AZ$8:$AZ$213,$B$18&amp;$B19,开!$L$8:$L$213)</f>
        <v>0</v>
      </c>
      <c r="M19" s="509"/>
      <c r="N19" s="509">
        <f>SUMIF(开!$AZ$8:$AZ$213,$B$18&amp;$B19,开!$P$8:$P$213)</f>
        <v>0</v>
      </c>
      <c r="O19" s="397" t="e">
        <f t="shared" si="7"/>
        <v>#DIV/0!</v>
      </c>
      <c r="P19" s="509">
        <f>SUMIF(开!$AZ$8:$AZ$213,$B$18&amp;$B19,开!$BO$8:$BO$213)</f>
        <v>0</v>
      </c>
      <c r="Q19" s="455" t="e">
        <f t="shared" si="8"/>
        <v>#DIV/0!</v>
      </c>
      <c r="R19" s="493">
        <f>COUNTIF('续 '!AR$8:AR$198,$B$18&amp;$B19)</f>
        <v>0</v>
      </c>
      <c r="S19" s="493">
        <f>SUMIF('续 '!$AR$8:$AR$198,$B$18&amp;$B19,'续 '!$F$8:$F$198)</f>
        <v>0</v>
      </c>
      <c r="T19" s="509">
        <f>SUMIF('续 '!$AR$8:$AR$198,$B$18&amp;$B19,'续 '!$G$8:$G$198)</f>
        <v>0</v>
      </c>
      <c r="U19" s="493">
        <f>SUMIF('续 '!$AR$8:$AR$198,$B$18&amp;$B19,'续 '!$L$8:$L$198)</f>
        <v>0</v>
      </c>
      <c r="V19" s="493"/>
      <c r="W19" s="493">
        <f>SUMIF('续 '!$AR$8:$AR$198,$B$18&amp;$B19,'续 '!$O$8:$O$198)</f>
        <v>0</v>
      </c>
      <c r="X19" s="397" t="e">
        <f t="shared" si="10"/>
        <v>#DIV/0!</v>
      </c>
      <c r="Y19" s="493">
        <f>SUMIF('续 '!$AR$8:$AR$198,$B$18&amp;$B19,'续 '!$BJ$8:$BJ$198)</f>
        <v>0</v>
      </c>
      <c r="Z19" s="516">
        <f>COUNTIF(竣!AS$8:AS$130,$B$18&amp;$B19)</f>
        <v>0</v>
      </c>
      <c r="AA19" s="493">
        <f>SUMIF(竣!AS$8:AS$130,$B$18&amp;$B19,竣!F$8:F$130)</f>
        <v>0</v>
      </c>
      <c r="AB19" s="509">
        <f>SUMIF(竣!AS$8:AS$130,$B$18&amp;$B19,竣!G$8:G$130)</f>
        <v>0</v>
      </c>
      <c r="AC19" s="493">
        <f>SUMIF(竣!AS$8:AS$130,$B$18&amp;$B19,竣!L$8:L$130)</f>
        <v>0</v>
      </c>
      <c r="AE19" s="493">
        <f>SUMIF(竣!$AS$8:$AS$130,$B$18&amp;$B19,竣!O$8:O$130)</f>
        <v>0</v>
      </c>
      <c r="AF19" s="397" t="e">
        <f t="shared" si="11"/>
        <v>#DIV/0!</v>
      </c>
      <c r="AG19" s="493">
        <f>SUMIF(竣!AS$8:AS$130,$B$18&amp;$B19,竣!BK$8:BK$130)</f>
        <v>0</v>
      </c>
      <c r="AH19" s="455" t="e">
        <f t="shared" si="12"/>
        <v>#DIV/0!</v>
      </c>
    </row>
    <row r="20" s="469" customFormat="1" ht="35.1" hidden="1" customHeight="1" spans="1:34">
      <c r="A20" s="491"/>
      <c r="B20" s="495" t="s">
        <v>270</v>
      </c>
      <c r="C20" s="496">
        <f t="shared" si="19"/>
        <v>6</v>
      </c>
      <c r="D20" s="496">
        <f t="shared" si="20"/>
        <v>343642</v>
      </c>
      <c r="E20" s="496">
        <f t="shared" si="21"/>
        <v>96410</v>
      </c>
      <c r="F20" s="496">
        <f t="shared" si="22"/>
        <v>145420</v>
      </c>
      <c r="G20" s="496"/>
      <c r="H20" s="497">
        <f t="shared" si="23"/>
        <v>0</v>
      </c>
      <c r="I20" s="504">
        <f t="shared" si="5"/>
        <v>0</v>
      </c>
      <c r="J20" s="493">
        <f>COUNTIF(开!AZ$8:AZ$213,$B$18&amp;$B20)</f>
        <v>4</v>
      </c>
      <c r="K20" s="493">
        <f>SUMIF(开!$AZ$8:$AZ$213,$B$18&amp;$B20,开!$F$8:$F$213)</f>
        <v>167812</v>
      </c>
      <c r="L20" s="509">
        <f>SUMIF(开!$AZ$8:$AZ$213,$B$18&amp;$B20,开!$L$8:$L$213)</f>
        <v>66000</v>
      </c>
      <c r="M20" s="509"/>
      <c r="N20" s="509">
        <f>SUMIF(开!$AZ$8:$AZ$213,$B$18&amp;$B20,开!$P$8:$P$213)</f>
        <v>0</v>
      </c>
      <c r="O20" s="397">
        <f t="shared" si="7"/>
        <v>0</v>
      </c>
      <c r="P20" s="509">
        <f>SUMIF(开!$AZ$8:$AZ$213,$B$18&amp;$B20,开!$BO$8:$BO$213)</f>
        <v>0</v>
      </c>
      <c r="Q20" s="455">
        <f t="shared" si="8"/>
        <v>0</v>
      </c>
      <c r="R20" s="493">
        <f>COUNTIF('续 '!AR$8:AR$198,$B$18&amp;$B20)</f>
        <v>0</v>
      </c>
      <c r="S20" s="493">
        <f>SUMIF('续 '!$AR$8:$AR$198,$B$18&amp;$B20,'续 '!$F$8:$F$198)</f>
        <v>0</v>
      </c>
      <c r="T20" s="509">
        <f>SUMIF('续 '!$AR$8:$AR$198,$B$18&amp;$B20,'续 '!$G$8:$G$198)</f>
        <v>0</v>
      </c>
      <c r="U20" s="493">
        <f>SUMIF('续 '!$AR$8:$AR$198,$B$18&amp;$B20,'续 '!$L$8:$L$198)</f>
        <v>0</v>
      </c>
      <c r="V20" s="493"/>
      <c r="W20" s="493">
        <f>SUMIF('续 '!$AR$8:$AR$198,$B$18&amp;$B20,'续 '!$O$8:$O$198)</f>
        <v>0</v>
      </c>
      <c r="X20" s="397" t="e">
        <f t="shared" si="10"/>
        <v>#DIV/0!</v>
      </c>
      <c r="Y20" s="493">
        <f>SUMIF('续 '!$AR$8:$AR$198,$B$18&amp;$B20,'续 '!$BJ$8:$BJ$198)</f>
        <v>0</v>
      </c>
      <c r="Z20" s="516">
        <f>COUNTIF(竣!AS$8:AS$130,$B$18&amp;$B20)</f>
        <v>2</v>
      </c>
      <c r="AA20" s="493">
        <f>SUMIF(竣!AS$8:AS$130,$B$18&amp;$B20,竣!F$8:F$130)</f>
        <v>175830</v>
      </c>
      <c r="AB20" s="509">
        <f>SUMIF(竣!AS$8:AS$130,$B$18&amp;$B20,竣!G$8:G$130)</f>
        <v>96410</v>
      </c>
      <c r="AC20" s="493">
        <f>SUMIF(竣!AS$8:AS$130,$B$18&amp;$B20,竣!L$8:L$130)</f>
        <v>79420</v>
      </c>
      <c r="AE20" s="493">
        <f>SUMIF(竣!$AS$8:$AS$130,$B$18&amp;$B20,竣!O$8:O$130)</f>
        <v>0</v>
      </c>
      <c r="AF20" s="397">
        <f t="shared" si="11"/>
        <v>0</v>
      </c>
      <c r="AG20" s="493">
        <f>SUMIF(竣!AS$8:AS$130,$B$18&amp;$B20,竣!BK$8:BK$130)</f>
        <v>0</v>
      </c>
      <c r="AH20" s="455">
        <f t="shared" si="12"/>
        <v>0</v>
      </c>
    </row>
    <row r="21" s="469" customFormat="1" ht="35.1" hidden="1" customHeight="1" spans="1:34">
      <c r="A21" s="491"/>
      <c r="B21" s="495" t="s">
        <v>318</v>
      </c>
      <c r="C21" s="496">
        <f t="shared" si="19"/>
        <v>1</v>
      </c>
      <c r="D21" s="496">
        <f t="shared" si="20"/>
        <v>91440</v>
      </c>
      <c r="E21" s="496">
        <f t="shared" si="21"/>
        <v>9350</v>
      </c>
      <c r="F21" s="496">
        <f t="shared" si="22"/>
        <v>20000</v>
      </c>
      <c r="G21" s="496"/>
      <c r="H21" s="497">
        <f t="shared" si="23"/>
        <v>0</v>
      </c>
      <c r="I21" s="504">
        <f t="shared" si="5"/>
        <v>0</v>
      </c>
      <c r="J21" s="493">
        <f>COUNTIF(开!AZ$8:AZ$213,$B$18&amp;$B21)</f>
        <v>0</v>
      </c>
      <c r="K21" s="493">
        <f>SUMIF(开!$AZ$8:$AZ$213,$B$18&amp;$B21,开!$F$8:$F$213)</f>
        <v>0</v>
      </c>
      <c r="L21" s="509">
        <f>SUMIF(开!$AZ$8:$AZ$213,$B$18&amp;$B21,开!$L$8:$L$213)</f>
        <v>0</v>
      </c>
      <c r="M21" s="509"/>
      <c r="N21" s="509">
        <f>SUMIF(开!$AZ$8:$AZ$213,$B$18&amp;$B21,开!$P$8:$P$213)</f>
        <v>0</v>
      </c>
      <c r="O21" s="397" t="e">
        <f t="shared" si="7"/>
        <v>#DIV/0!</v>
      </c>
      <c r="P21" s="509">
        <f>SUMIF(开!$AZ$8:$AZ$213,$B$18&amp;$B21,开!$BO$8:$BO$213)</f>
        <v>0</v>
      </c>
      <c r="Q21" s="455" t="e">
        <f t="shared" si="8"/>
        <v>#DIV/0!</v>
      </c>
      <c r="R21" s="493">
        <f>COUNTIF('续 '!AR$8:AR$198,$B$18&amp;$B21)</f>
        <v>1</v>
      </c>
      <c r="S21" s="493">
        <f>SUMIF('续 '!$AR$8:$AR$198,$B$18&amp;$B21,'续 '!$F$8:$F$198)</f>
        <v>91440</v>
      </c>
      <c r="T21" s="509">
        <f>SUMIF('续 '!$AR$8:$AR$198,$B$18&amp;$B21,'续 '!$G$8:$G$198)</f>
        <v>9350</v>
      </c>
      <c r="U21" s="493">
        <f>SUMIF('续 '!$AR$8:$AR$198,$B$18&amp;$B21,'续 '!$L$8:$L$198)</f>
        <v>20000</v>
      </c>
      <c r="V21" s="493"/>
      <c r="W21" s="493">
        <f>SUMIF('续 '!$AR$8:$AR$198,$B$18&amp;$B21,'续 '!$O$8:$O$198)</f>
        <v>0</v>
      </c>
      <c r="X21" s="397">
        <f t="shared" si="10"/>
        <v>0</v>
      </c>
      <c r="Y21" s="493">
        <f>SUMIF('续 '!$AR$8:$AR$198,$B$18&amp;$B21,'续 '!$BJ$8:$BJ$198)</f>
        <v>0</v>
      </c>
      <c r="Z21" s="516">
        <f>COUNTIF(竣!AS$8:AS$130,$B$18&amp;$B21)</f>
        <v>0</v>
      </c>
      <c r="AA21" s="493">
        <f>SUMIF(竣!AS$8:AS$130,$B$18&amp;$B21,竣!F$8:F$130)</f>
        <v>0</v>
      </c>
      <c r="AB21" s="509">
        <f>SUMIF(竣!AS$8:AS$130,$B$18&amp;$B21,竣!G$8:G$130)</f>
        <v>0</v>
      </c>
      <c r="AC21" s="493">
        <f>SUMIF(竣!AS$8:AS$130,$B$18&amp;$B21,竣!L$8:L$130)</f>
        <v>0</v>
      </c>
      <c r="AE21" s="493">
        <f>SUMIF(竣!$AS$8:$AS$130,$B$18&amp;$B21,竣!O$8:O$130)</f>
        <v>0</v>
      </c>
      <c r="AF21" s="397" t="e">
        <f t="shared" si="11"/>
        <v>#DIV/0!</v>
      </c>
      <c r="AG21" s="493">
        <f>SUMIF(竣!AS$8:AS$130,$B$18&amp;$B21,竣!BK$8:BK$130)</f>
        <v>0</v>
      </c>
      <c r="AH21" s="455" t="e">
        <f t="shared" si="12"/>
        <v>#DIV/0!</v>
      </c>
    </row>
    <row r="22" s="469" customFormat="1" ht="35.1" hidden="1" customHeight="1" spans="1:34">
      <c r="A22" s="491"/>
      <c r="B22" s="495" t="s">
        <v>360</v>
      </c>
      <c r="C22" s="496">
        <f t="shared" si="19"/>
        <v>6</v>
      </c>
      <c r="D22" s="496">
        <f t="shared" si="20"/>
        <v>429837</v>
      </c>
      <c r="E22" s="496">
        <f t="shared" si="21"/>
        <v>80656</v>
      </c>
      <c r="F22" s="496">
        <f t="shared" si="22"/>
        <v>62000</v>
      </c>
      <c r="G22" s="496"/>
      <c r="H22" s="497">
        <f t="shared" si="23"/>
        <v>0</v>
      </c>
      <c r="I22" s="504">
        <f t="shared" si="5"/>
        <v>0</v>
      </c>
      <c r="J22" s="493">
        <f>COUNTIF(开!AZ$8:AZ$213,$B$18&amp;$B22)</f>
        <v>2</v>
      </c>
      <c r="K22" s="493">
        <f>SUMIF(开!$AZ$8:$AZ$213,$B$18&amp;$B22,开!$F$8:$F$213)</f>
        <v>136037</v>
      </c>
      <c r="L22" s="509">
        <f>SUMIF(开!$AZ$8:$AZ$213,$B$18&amp;$B22,开!$L$8:$L$213)</f>
        <v>10000</v>
      </c>
      <c r="M22" s="509"/>
      <c r="N22" s="509">
        <f>SUMIF(开!$AZ$8:$AZ$213,$B$18&amp;$B22,开!$P$8:$P$213)</f>
        <v>0</v>
      </c>
      <c r="O22" s="397">
        <f t="shared" si="7"/>
        <v>0</v>
      </c>
      <c r="P22" s="509">
        <f>SUMIF(开!$AZ$8:$AZ$213,$B$18&amp;$B22,开!$BO$8:$BO$213)</f>
        <v>0</v>
      </c>
      <c r="Q22" s="455">
        <f t="shared" si="8"/>
        <v>0</v>
      </c>
      <c r="R22" s="493">
        <f>COUNTIF('续 '!AR$8:AR$198,$B$18&amp;$B22)</f>
        <v>4</v>
      </c>
      <c r="S22" s="493">
        <f>SUMIF('续 '!$AR$8:$AR$198,$B$18&amp;$B22,'续 '!$F$8:$F$198)</f>
        <v>293800</v>
      </c>
      <c r="T22" s="509">
        <f>SUMIF('续 '!$AR$8:$AR$198,$B$18&amp;$B22,'续 '!$G$8:$G$198)</f>
        <v>80656</v>
      </c>
      <c r="U22" s="493">
        <f>SUMIF('续 '!$AR$8:$AR$198,$B$18&amp;$B22,'续 '!$L$8:$L$198)</f>
        <v>52000</v>
      </c>
      <c r="V22" s="493"/>
      <c r="W22" s="493">
        <f>SUMIF('续 '!$AR$8:$AR$198,$B$18&amp;$B22,'续 '!$O$8:$O$198)</f>
        <v>0</v>
      </c>
      <c r="X22" s="397">
        <f t="shared" si="10"/>
        <v>0</v>
      </c>
      <c r="Y22" s="493">
        <f>SUMIF('续 '!$AR$8:$AR$198,$B$18&amp;$B22,'续 '!$BJ$8:$BJ$198)</f>
        <v>0</v>
      </c>
      <c r="Z22" s="516">
        <f>COUNTIF(竣!AS$8:AS$130,$B$18&amp;$B22)</f>
        <v>0</v>
      </c>
      <c r="AA22" s="493">
        <f>SUMIF(竣!AS$8:AS$130,$B$18&amp;$B22,竣!F$8:F$130)</f>
        <v>0</v>
      </c>
      <c r="AB22" s="509">
        <f>SUMIF(竣!AS$8:AS$130,$B$18&amp;$B22,竣!G$8:G$130)</f>
        <v>0</v>
      </c>
      <c r="AC22" s="493">
        <f>SUMIF(竣!AS$8:AS$130,$B$18&amp;$B22,竣!L$8:L$130)</f>
        <v>0</v>
      </c>
      <c r="AE22" s="493">
        <f>SUMIF(竣!$AS$8:$AS$130,$B$18&amp;$B22,竣!O$8:O$130)</f>
        <v>0</v>
      </c>
      <c r="AF22" s="397" t="e">
        <f t="shared" si="11"/>
        <v>#DIV/0!</v>
      </c>
      <c r="AG22" s="493">
        <f>SUMIF(竣!AS$8:AS$130,$B$18&amp;$B22,竣!BK$8:BK$130)</f>
        <v>0</v>
      </c>
      <c r="AH22" s="455" t="e">
        <f t="shared" si="12"/>
        <v>#DIV/0!</v>
      </c>
    </row>
    <row r="23" s="469" customFormat="1" ht="35.1" hidden="1" customHeight="1" spans="1:34">
      <c r="A23" s="491"/>
      <c r="B23" s="495" t="s">
        <v>376</v>
      </c>
      <c r="C23" s="496">
        <f t="shared" si="19"/>
        <v>2</v>
      </c>
      <c r="D23" s="496">
        <f t="shared" si="20"/>
        <v>84000</v>
      </c>
      <c r="E23" s="496">
        <f t="shared" si="21"/>
        <v>68000</v>
      </c>
      <c r="F23" s="496">
        <f t="shared" si="22"/>
        <v>16000</v>
      </c>
      <c r="G23" s="496"/>
      <c r="H23" s="497">
        <f t="shared" si="23"/>
        <v>0</v>
      </c>
      <c r="I23" s="504">
        <f t="shared" si="5"/>
        <v>0</v>
      </c>
      <c r="J23" s="493">
        <f>COUNTIF(开!AZ$8:AZ$213,$B$18&amp;$B23)</f>
        <v>0</v>
      </c>
      <c r="K23" s="493">
        <f>SUMIF(开!$AZ$8:$AZ$213,$B$18&amp;$B23,开!$F$8:$F$213)</f>
        <v>0</v>
      </c>
      <c r="L23" s="509">
        <f>SUMIF(开!$AZ$8:$AZ$213,$B$18&amp;$B23,开!$L$8:$L$213)</f>
        <v>0</v>
      </c>
      <c r="M23" s="509"/>
      <c r="N23" s="509">
        <f>SUMIF(开!$AZ$8:$AZ$213,$B$18&amp;$B23,开!$P$8:$P$213)</f>
        <v>0</v>
      </c>
      <c r="O23" s="397" t="e">
        <f t="shared" si="7"/>
        <v>#DIV/0!</v>
      </c>
      <c r="P23" s="509">
        <f>SUMIF(开!$AZ$8:$AZ$213,$B$18&amp;$B23,开!$BO$8:$BO$213)</f>
        <v>0</v>
      </c>
      <c r="Q23" s="455" t="e">
        <f t="shared" si="8"/>
        <v>#DIV/0!</v>
      </c>
      <c r="R23" s="493">
        <f>COUNTIF('续 '!AR$8:AR$198,$B$18&amp;$B23)</f>
        <v>0</v>
      </c>
      <c r="S23" s="493">
        <f>SUMIF('续 '!$AR$8:$AR$198,$B$18&amp;$B23,'续 '!$F$8:$F$198)</f>
        <v>0</v>
      </c>
      <c r="T23" s="509">
        <f>SUMIF('续 '!$AR$8:$AR$198,$B$18&amp;$B23,'续 '!$G$8:$G$198)</f>
        <v>0</v>
      </c>
      <c r="U23" s="493">
        <f>SUMIF('续 '!$AR$8:$AR$198,$B$18&amp;$B23,'续 '!$L$8:$L$198)</f>
        <v>0</v>
      </c>
      <c r="V23" s="493"/>
      <c r="W23" s="493">
        <f>SUMIF('续 '!$AR$8:$AR$198,$B$18&amp;$B23,'续 '!$O$8:$O$198)</f>
        <v>0</v>
      </c>
      <c r="X23" s="397" t="e">
        <f t="shared" si="10"/>
        <v>#DIV/0!</v>
      </c>
      <c r="Y23" s="493">
        <f>SUMIF('续 '!$AR$8:$AR$198,$B$18&amp;$B23,'续 '!$BJ$8:$BJ$198)</f>
        <v>0</v>
      </c>
      <c r="Z23" s="516">
        <f>COUNTIF(竣!AS$8:AS$130,$B$18&amp;$B23)</f>
        <v>2</v>
      </c>
      <c r="AA23" s="493">
        <f>SUMIF(竣!AS$8:AS$130,$B$18&amp;$B23,竣!F$8:F$130)</f>
        <v>84000</v>
      </c>
      <c r="AB23" s="509">
        <f>SUMIF(竣!AS$8:AS$130,$B$18&amp;$B23,竣!G$8:G$130)</f>
        <v>68000</v>
      </c>
      <c r="AC23" s="493">
        <f>SUMIF(竣!AS$8:AS$130,$B$18&amp;$B23,竣!L$8:L$130)</f>
        <v>16000</v>
      </c>
      <c r="AE23" s="493">
        <f>SUMIF(竣!$AS$8:$AS$130,$B$18&amp;$B23,竣!O$8:O$130)</f>
        <v>0</v>
      </c>
      <c r="AF23" s="397">
        <f t="shared" si="11"/>
        <v>0</v>
      </c>
      <c r="AG23" s="493">
        <f>SUMIF(竣!AS$8:AS$130,$B$18&amp;$B23,竣!BK$8:BK$130)</f>
        <v>0</v>
      </c>
      <c r="AH23" s="455">
        <f t="shared" si="12"/>
        <v>0</v>
      </c>
    </row>
    <row r="24" s="469" customFormat="1" ht="35.1" hidden="1" customHeight="1" spans="1:34">
      <c r="A24" s="491"/>
      <c r="B24" s="495" t="s">
        <v>2740</v>
      </c>
      <c r="C24" s="496">
        <f t="shared" si="19"/>
        <v>0</v>
      </c>
      <c r="D24" s="496">
        <f t="shared" si="20"/>
        <v>0</v>
      </c>
      <c r="E24" s="496">
        <f t="shared" si="21"/>
        <v>0</v>
      </c>
      <c r="F24" s="496">
        <f t="shared" si="22"/>
        <v>0</v>
      </c>
      <c r="G24" s="496"/>
      <c r="H24" s="497">
        <f t="shared" si="23"/>
        <v>0</v>
      </c>
      <c r="I24" s="504" t="e">
        <f t="shared" si="5"/>
        <v>#DIV/0!</v>
      </c>
      <c r="J24" s="493">
        <f>COUNTIF(开!AZ$8:AZ$213,$B$18&amp;$B24)</f>
        <v>0</v>
      </c>
      <c r="K24" s="493">
        <f>SUMIF(开!$AZ$8:$AZ$213,$B$18&amp;$B24,开!$F$8:$F$213)</f>
        <v>0</v>
      </c>
      <c r="L24" s="509">
        <f>SUMIF(开!$AZ$8:$AZ$213,$B$18&amp;$B24,开!$L$8:$L$213)</f>
        <v>0</v>
      </c>
      <c r="M24" s="509"/>
      <c r="N24" s="509">
        <f>SUMIF(开!$AZ$8:$AZ$213,$B$18&amp;$B24,开!$P$8:$P$213)</f>
        <v>0</v>
      </c>
      <c r="O24" s="397" t="e">
        <f t="shared" si="7"/>
        <v>#DIV/0!</v>
      </c>
      <c r="P24" s="509">
        <f>SUMIF(开!$AZ$8:$AZ$213,$B$18&amp;$B24,开!$BO$8:$BO$213)</f>
        <v>0</v>
      </c>
      <c r="Q24" s="455" t="e">
        <f t="shared" si="8"/>
        <v>#DIV/0!</v>
      </c>
      <c r="R24" s="493">
        <f>COUNTIF('续 '!AR$8:AR$198,$B$18&amp;$B24)</f>
        <v>0</v>
      </c>
      <c r="S24" s="493">
        <f>SUMIF('续 '!$AR$8:$AR$198,$B$18&amp;$B24,'续 '!$F$8:$F$198)</f>
        <v>0</v>
      </c>
      <c r="T24" s="509">
        <f>SUMIF('续 '!$AR$8:$AR$198,$B$18&amp;$B24,'续 '!$G$8:$G$198)</f>
        <v>0</v>
      </c>
      <c r="U24" s="493">
        <f>SUMIF('续 '!$AR$8:$AR$198,$B$18&amp;$B24,'续 '!$L$8:$L$198)</f>
        <v>0</v>
      </c>
      <c r="V24" s="493"/>
      <c r="W24" s="493">
        <f>SUMIF('续 '!$AR$8:$AR$198,$B$18&amp;$B24,'续 '!$O$8:$O$198)</f>
        <v>0</v>
      </c>
      <c r="X24" s="397" t="e">
        <f t="shared" si="10"/>
        <v>#DIV/0!</v>
      </c>
      <c r="Y24" s="493">
        <f>SUMIF('续 '!$AR$8:$AR$198,$B$18&amp;$B24,'续 '!$BJ$8:$BJ$198)</f>
        <v>0</v>
      </c>
      <c r="Z24" s="516">
        <f>COUNTIF(竣!AS$8:AS$130,$B$18&amp;$B24)</f>
        <v>0</v>
      </c>
      <c r="AA24" s="493">
        <f>SUMIF(竣!AS$8:AS$130,$B$18&amp;$B24,竣!F$8:F$130)</f>
        <v>0</v>
      </c>
      <c r="AB24" s="509">
        <f>SUMIF(竣!AS$8:AS$130,$B$18&amp;$B24,竣!G$8:G$130)</f>
        <v>0</v>
      </c>
      <c r="AC24" s="493">
        <f>SUMIF(竣!AS$8:AS$130,$B$18&amp;$B24,竣!L$8:L$130)</f>
        <v>0</v>
      </c>
      <c r="AE24" s="493">
        <f>SUMIF(竣!$AS$8:$AS$130,$B$18&amp;$B24,竣!O$8:O$130)</f>
        <v>0</v>
      </c>
      <c r="AF24" s="397" t="e">
        <f t="shared" si="11"/>
        <v>#DIV/0!</v>
      </c>
      <c r="AG24" s="493">
        <f>SUMIF(竣!AS$8:AS$130,$B$18&amp;$B24,竣!BK$8:BK$130)</f>
        <v>0</v>
      </c>
      <c r="AH24" s="455" t="e">
        <f t="shared" si="12"/>
        <v>#DIV/0!</v>
      </c>
    </row>
    <row r="25" s="469" customFormat="1" ht="19.15" hidden="1" customHeight="1" spans="1:34">
      <c r="A25" s="491"/>
      <c r="B25" s="495" t="s">
        <v>241</v>
      </c>
      <c r="C25" s="496">
        <f t="shared" si="19"/>
        <v>0</v>
      </c>
      <c r="D25" s="496">
        <f t="shared" si="20"/>
        <v>0</v>
      </c>
      <c r="E25" s="496">
        <f t="shared" si="21"/>
        <v>0</v>
      </c>
      <c r="F25" s="496">
        <f t="shared" si="22"/>
        <v>0</v>
      </c>
      <c r="G25" s="496"/>
      <c r="H25" s="497">
        <f t="shared" si="23"/>
        <v>0</v>
      </c>
      <c r="I25" s="504" t="e">
        <f t="shared" si="5"/>
        <v>#DIV/0!</v>
      </c>
      <c r="J25" s="493">
        <f>COUNTIF(开!AZ$8:AZ$213,$B$18&amp;$B25)</f>
        <v>0</v>
      </c>
      <c r="K25" s="493">
        <f>SUMIF(开!$AZ$8:$AZ$213,$B$18&amp;$B25,开!$F$8:$F$213)</f>
        <v>0</v>
      </c>
      <c r="L25" s="509">
        <f>SUMIF(开!$AZ$8:$AZ$213,$B$18&amp;$B25,开!$L$8:$L$213)</f>
        <v>0</v>
      </c>
      <c r="M25" s="509"/>
      <c r="N25" s="509">
        <f>SUMIF(开!$AZ$8:$AZ$213,$B$18&amp;$B25,开!$P$8:$P$213)</f>
        <v>0</v>
      </c>
      <c r="O25" s="397" t="e">
        <f t="shared" si="7"/>
        <v>#DIV/0!</v>
      </c>
      <c r="P25" s="509">
        <f>SUMIF(开!$AZ$8:$AZ$213,$B$18&amp;$B25,开!$BO$8:$BO$213)</f>
        <v>0</v>
      </c>
      <c r="Q25" s="455" t="e">
        <f t="shared" si="8"/>
        <v>#DIV/0!</v>
      </c>
      <c r="R25" s="493">
        <f>COUNTIF('续 '!AR$8:AR$198,$B$18&amp;$B25)</f>
        <v>0</v>
      </c>
      <c r="S25" s="493">
        <f>SUMIF('续 '!$AR$8:$AR$198,$B$18&amp;$B25,'续 '!$F$8:$F$198)</f>
        <v>0</v>
      </c>
      <c r="T25" s="509">
        <f>SUMIF('续 '!$AR$8:$AR$198,$B$18&amp;$B25,'续 '!$G$8:$G$198)</f>
        <v>0</v>
      </c>
      <c r="U25" s="493">
        <f>SUMIF('续 '!$AR$8:$AR$198,$B$18&amp;$B25,'续 '!$L$8:$L$198)</f>
        <v>0</v>
      </c>
      <c r="V25" s="493"/>
      <c r="W25" s="493">
        <f>SUMIF('续 '!$AR$8:$AR$198,$B$18&amp;$B25,'续 '!$O$8:$O$198)</f>
        <v>0</v>
      </c>
      <c r="X25" s="397" t="e">
        <f t="shared" si="10"/>
        <v>#DIV/0!</v>
      </c>
      <c r="Y25" s="493">
        <f>SUMIF('续 '!$AR$8:$AR$198,$B$18&amp;$B25,'续 '!$BJ$8:$BJ$198)</f>
        <v>0</v>
      </c>
      <c r="Z25" s="516">
        <f>COUNTIF(竣!AS$8:AS$130,$B$18&amp;$B25)</f>
        <v>0</v>
      </c>
      <c r="AA25" s="493">
        <f>SUMIF(竣!AS$8:AS$130,$B$18&amp;$B25,竣!F$8:F$130)</f>
        <v>0</v>
      </c>
      <c r="AB25" s="509">
        <f>SUMIF(竣!AS$8:AS$130,$B$18&amp;$B25,竣!G$8:G$130)</f>
        <v>0</v>
      </c>
      <c r="AC25" s="493">
        <f>SUMIF(竣!AS$8:AS$130,$B$18&amp;$B25,竣!L$8:L$130)</f>
        <v>0</v>
      </c>
      <c r="AE25" s="493">
        <f>SUMIF(竣!$AS$8:$AS$130,$B$18&amp;$B25,竣!O$8:O$130)</f>
        <v>0</v>
      </c>
      <c r="AF25" s="397" t="e">
        <f t="shared" si="11"/>
        <v>#DIV/0!</v>
      </c>
      <c r="AG25" s="493">
        <f>SUMIF(竣!AS$8:AS$130,$B$18&amp;$B25,竣!BK$8:BK$130)</f>
        <v>0</v>
      </c>
      <c r="AH25" s="455" t="e">
        <f t="shared" si="12"/>
        <v>#DIV/0!</v>
      </c>
    </row>
    <row r="26" s="469" customFormat="1" ht="19.15" hidden="1" customHeight="1" spans="1:34">
      <c r="A26" s="491"/>
      <c r="B26" s="495" t="s">
        <v>167</v>
      </c>
      <c r="C26" s="496">
        <f t="shared" si="19"/>
        <v>0</v>
      </c>
      <c r="D26" s="496">
        <f t="shared" si="20"/>
        <v>0</v>
      </c>
      <c r="E26" s="496">
        <f t="shared" si="21"/>
        <v>0</v>
      </c>
      <c r="F26" s="496">
        <f t="shared" si="22"/>
        <v>0</v>
      </c>
      <c r="G26" s="496"/>
      <c r="H26" s="497">
        <f t="shared" si="23"/>
        <v>0</v>
      </c>
      <c r="I26" s="504" t="e">
        <f t="shared" si="5"/>
        <v>#DIV/0!</v>
      </c>
      <c r="J26" s="493">
        <f>COUNTIF(开!AZ$8:AZ$213,$B$18&amp;$B26)</f>
        <v>0</v>
      </c>
      <c r="K26" s="493">
        <f>SUMIF(开!$AZ$8:$AZ$213,$B$18&amp;$B26,开!$F$8:$F$213)</f>
        <v>0</v>
      </c>
      <c r="L26" s="509">
        <f>SUMIF(开!$AZ$8:$AZ$213,$B$18&amp;$B26,开!$L$8:$L$213)</f>
        <v>0</v>
      </c>
      <c r="M26" s="509"/>
      <c r="N26" s="509">
        <f>SUMIF(开!$AZ$8:$AZ$213,$B$18&amp;$B26,开!$P$8:$P$213)</f>
        <v>0</v>
      </c>
      <c r="O26" s="397" t="e">
        <f t="shared" si="7"/>
        <v>#DIV/0!</v>
      </c>
      <c r="P26" s="509">
        <f>SUMIF(开!$AZ$8:$AZ$213,$B$18&amp;$B26,开!$BO$8:$BO$213)</f>
        <v>0</v>
      </c>
      <c r="Q26" s="455" t="e">
        <f t="shared" si="8"/>
        <v>#DIV/0!</v>
      </c>
      <c r="R26" s="493">
        <f>COUNTIF('续 '!AR$8:AR$198,$B$18&amp;$B26)</f>
        <v>0</v>
      </c>
      <c r="S26" s="493">
        <f>SUMIF('续 '!$AR$8:$AR$198,$B$18&amp;$B26,'续 '!$F$8:$F$198)</f>
        <v>0</v>
      </c>
      <c r="T26" s="509">
        <f>SUMIF('续 '!$AR$8:$AR$198,$B$18&amp;$B26,'续 '!$G$8:$G$198)</f>
        <v>0</v>
      </c>
      <c r="U26" s="493">
        <f>SUMIF('续 '!$AR$8:$AR$198,$B$18&amp;$B26,'续 '!$L$8:$L$198)</f>
        <v>0</v>
      </c>
      <c r="V26" s="493"/>
      <c r="W26" s="493">
        <f>SUMIF('续 '!$AR$8:$AR$198,$B$18&amp;$B26,'续 '!$O$8:$O$198)</f>
        <v>0</v>
      </c>
      <c r="X26" s="397" t="e">
        <f t="shared" si="10"/>
        <v>#DIV/0!</v>
      </c>
      <c r="Y26" s="493">
        <f>SUMIF('续 '!$AR$8:$AR$198,$B$18&amp;$B26,'续 '!$BJ$8:$BJ$198)</f>
        <v>0</v>
      </c>
      <c r="Z26" s="516">
        <f>COUNTIF(竣!AS$8:AS$130,$B$18&amp;$B26)</f>
        <v>0</v>
      </c>
      <c r="AA26" s="493">
        <f>SUMIF(竣!AS$8:AS$130,$B$18&amp;$B26,竣!F$8:F$130)</f>
        <v>0</v>
      </c>
      <c r="AB26" s="509">
        <f>SUMIF(竣!AS$8:AS$130,$B$18&amp;$B26,竣!G$8:G$130)</f>
        <v>0</v>
      </c>
      <c r="AC26" s="493">
        <f>SUMIF(竣!AS$8:AS$130,$B$18&amp;$B26,竣!L$8:L$130)</f>
        <v>0</v>
      </c>
      <c r="AE26" s="493">
        <f>SUMIF(竣!$AS$8:$AS$130,$B$18&amp;$B26,竣!O$8:O$130)</f>
        <v>0</v>
      </c>
      <c r="AF26" s="397" t="e">
        <f t="shared" si="11"/>
        <v>#DIV/0!</v>
      </c>
      <c r="AG26" s="493">
        <f>SUMIF(竣!AS$8:AS$130,$B$18&amp;$B26,竣!BK$8:BK$130)</f>
        <v>0</v>
      </c>
      <c r="AH26" s="455" t="e">
        <f t="shared" si="12"/>
        <v>#DIV/0!</v>
      </c>
    </row>
    <row r="27" s="469" customFormat="1" ht="35.1" hidden="1" customHeight="1" spans="1:34">
      <c r="A27" s="491"/>
      <c r="B27" s="495" t="s">
        <v>186</v>
      </c>
      <c r="C27" s="496">
        <f t="shared" si="19"/>
        <v>1</v>
      </c>
      <c r="D27" s="496">
        <f t="shared" si="20"/>
        <v>78700</v>
      </c>
      <c r="E27" s="496">
        <f t="shared" si="21"/>
        <v>65000</v>
      </c>
      <c r="F27" s="496">
        <f t="shared" si="22"/>
        <v>13700</v>
      </c>
      <c r="G27" s="496"/>
      <c r="H27" s="497">
        <f t="shared" si="23"/>
        <v>0</v>
      </c>
      <c r="I27" s="504">
        <f t="shared" si="5"/>
        <v>0</v>
      </c>
      <c r="J27" s="493">
        <f>COUNTIF(开!AZ$8:AZ$213,$B$18&amp;$B27)</f>
        <v>0</v>
      </c>
      <c r="K27" s="493">
        <f>SUMIF(开!$AZ$8:$AZ$213,$B$18&amp;$B27,开!$F$8:$F$213)</f>
        <v>0</v>
      </c>
      <c r="L27" s="509">
        <f>SUMIF(开!$AZ$8:$AZ$213,$B$18&amp;$B27,开!$L$8:$L$213)</f>
        <v>0</v>
      </c>
      <c r="M27" s="509"/>
      <c r="N27" s="509">
        <f>SUMIF(开!$AZ$8:$AZ$213,$B$18&amp;$B27,开!$P$8:$P$213)</f>
        <v>0</v>
      </c>
      <c r="O27" s="397" t="e">
        <f t="shared" si="7"/>
        <v>#DIV/0!</v>
      </c>
      <c r="P27" s="509">
        <f>SUMIF(开!$AZ$8:$AZ$213,$B$18&amp;$B27,开!$BO$8:$BO$213)</f>
        <v>0</v>
      </c>
      <c r="Q27" s="455" t="e">
        <f t="shared" si="8"/>
        <v>#DIV/0!</v>
      </c>
      <c r="R27" s="493">
        <f>COUNTIF('续 '!AR$8:AR$198,$B$18&amp;$B27)</f>
        <v>0</v>
      </c>
      <c r="S27" s="493">
        <f>SUMIF('续 '!$AR$8:$AR$198,$B$18&amp;$B27,'续 '!$F$8:$F$198)</f>
        <v>0</v>
      </c>
      <c r="T27" s="509">
        <f>SUMIF('续 '!$AR$8:$AR$198,$B$18&amp;$B27,'续 '!$G$8:$G$198)</f>
        <v>0</v>
      </c>
      <c r="U27" s="493">
        <f>SUMIF('续 '!$AR$8:$AR$198,$B$18&amp;$B27,'续 '!$L$8:$L$198)</f>
        <v>0</v>
      </c>
      <c r="V27" s="493"/>
      <c r="W27" s="493">
        <f>SUMIF('续 '!$AR$8:$AR$198,$B$18&amp;$B27,'续 '!$O$8:$O$198)</f>
        <v>0</v>
      </c>
      <c r="X27" s="397" t="e">
        <f t="shared" si="10"/>
        <v>#DIV/0!</v>
      </c>
      <c r="Y27" s="493">
        <f>SUMIF('续 '!$AR$8:$AR$198,$B$18&amp;$B27,'续 '!$BJ$8:$BJ$198)</f>
        <v>0</v>
      </c>
      <c r="Z27" s="516">
        <f>COUNTIF(竣!AS$8:AS$130,$B$18&amp;$B27)</f>
        <v>1</v>
      </c>
      <c r="AA27" s="493">
        <f>SUMIF(竣!AS$8:AS$130,$B$18&amp;$B27,竣!F$8:F$130)</f>
        <v>78700</v>
      </c>
      <c r="AB27" s="509">
        <f>SUMIF(竣!AS$8:AS$130,$B$18&amp;$B27,竣!G$8:G$130)</f>
        <v>65000</v>
      </c>
      <c r="AC27" s="493">
        <f>SUMIF(竣!AS$8:AS$130,$B$18&amp;$B27,竣!L$8:L$130)</f>
        <v>13700</v>
      </c>
      <c r="AE27" s="493">
        <f>SUMIF(竣!$AS$8:$AS$130,$B$18&amp;$B27,竣!O$8:O$130)</f>
        <v>0</v>
      </c>
      <c r="AF27" s="397">
        <f t="shared" si="11"/>
        <v>0</v>
      </c>
      <c r="AG27" s="493">
        <f>SUMIF(竣!AS$8:AS$130,$B$18&amp;$B27,竣!BK$8:BK$130)</f>
        <v>0</v>
      </c>
      <c r="AH27" s="455">
        <f t="shared" si="12"/>
        <v>0</v>
      </c>
    </row>
    <row r="28" s="469" customFormat="1" ht="35.1" hidden="1" customHeight="1" spans="1:34">
      <c r="A28" s="491"/>
      <c r="B28" s="495" t="s">
        <v>2741</v>
      </c>
      <c r="C28" s="496">
        <f t="shared" si="19"/>
        <v>0</v>
      </c>
      <c r="D28" s="496">
        <f t="shared" si="20"/>
        <v>0</v>
      </c>
      <c r="E28" s="496">
        <f t="shared" si="21"/>
        <v>0</v>
      </c>
      <c r="F28" s="496">
        <f t="shared" si="22"/>
        <v>0</v>
      </c>
      <c r="G28" s="496"/>
      <c r="H28" s="497">
        <f t="shared" si="23"/>
        <v>0</v>
      </c>
      <c r="I28" s="504" t="e">
        <f t="shared" si="5"/>
        <v>#DIV/0!</v>
      </c>
      <c r="J28" s="493">
        <f>COUNTIF(开!AZ$8:AZ$213,$B$18&amp;$B28)</f>
        <v>0</v>
      </c>
      <c r="K28" s="493">
        <f>SUMIF(开!$AZ$8:$AZ$213,$B$18&amp;$B28,开!$F$8:$F$213)</f>
        <v>0</v>
      </c>
      <c r="L28" s="509">
        <f>SUMIF(开!$AZ$8:$AZ$213,$B$18&amp;$B28,开!$L$8:$L$213)</f>
        <v>0</v>
      </c>
      <c r="M28" s="509"/>
      <c r="N28" s="509">
        <f>SUMIF(开!$AZ$8:$AZ$213,$B$18&amp;$B28,开!$P$8:$P$213)</f>
        <v>0</v>
      </c>
      <c r="O28" s="397" t="e">
        <f t="shared" si="7"/>
        <v>#DIV/0!</v>
      </c>
      <c r="P28" s="509">
        <f>SUMIF(开!$AZ$8:$AZ$213,$B$18&amp;$B28,开!$BO$8:$BO$213)</f>
        <v>0</v>
      </c>
      <c r="Q28" s="455" t="e">
        <f t="shared" si="8"/>
        <v>#DIV/0!</v>
      </c>
      <c r="R28" s="493">
        <f>COUNTIF('续 '!AR$8:AR$198,$B$18&amp;$B28)</f>
        <v>0</v>
      </c>
      <c r="S28" s="493">
        <f>SUMIF('续 '!$AR$8:$AR$198,$B$18&amp;$B28,'续 '!$F$8:$F$198)</f>
        <v>0</v>
      </c>
      <c r="T28" s="509">
        <f>SUMIF('续 '!$AR$8:$AR$198,$B$18&amp;$B28,'续 '!$G$8:$G$198)</f>
        <v>0</v>
      </c>
      <c r="U28" s="493">
        <f>SUMIF('续 '!$AR$8:$AR$198,$B$18&amp;$B28,'续 '!$L$8:$L$198)</f>
        <v>0</v>
      </c>
      <c r="V28" s="493"/>
      <c r="W28" s="493">
        <f>SUMIF('续 '!$AR$8:$AR$198,$B$18&amp;$B28,'续 '!$O$8:$O$198)</f>
        <v>0</v>
      </c>
      <c r="X28" s="397" t="e">
        <f t="shared" si="10"/>
        <v>#DIV/0!</v>
      </c>
      <c r="Y28" s="493">
        <f>SUMIF('续 '!$AR$8:$AR$198,$B$18&amp;$B28,'续 '!$BJ$8:$BJ$198)</f>
        <v>0</v>
      </c>
      <c r="Z28" s="516">
        <f>COUNTIF(竣!AS$8:AS$130,$B$18&amp;$B28)</f>
        <v>0</v>
      </c>
      <c r="AA28" s="493">
        <f>SUMIF(竣!AS$8:AS$130,$B$18&amp;$B28,竣!F$8:F$130)</f>
        <v>0</v>
      </c>
      <c r="AB28" s="509">
        <f>SUMIF(竣!AS$8:AS$130,$B$18&amp;$B28,竣!G$8:G$130)</f>
        <v>0</v>
      </c>
      <c r="AC28" s="493">
        <f>SUMIF(竣!AS$8:AS$130,$B$18&amp;$B28,竣!L$8:L$130)</f>
        <v>0</v>
      </c>
      <c r="AE28" s="493">
        <f>SUMIF(竣!$AS$8:$AS$130,$B$18&amp;$B28,竣!O$8:O$130)</f>
        <v>0</v>
      </c>
      <c r="AF28" s="397" t="e">
        <f t="shared" si="11"/>
        <v>#DIV/0!</v>
      </c>
      <c r="AG28" s="493">
        <f>SUMIF(竣!AS$8:AS$130,$B$18&amp;$B28,竣!BK$8:BK$130)</f>
        <v>0</v>
      </c>
      <c r="AH28" s="455" t="e">
        <f t="shared" si="12"/>
        <v>#DIV/0!</v>
      </c>
    </row>
    <row r="29" s="469" customFormat="1" ht="31.9" customHeight="1" spans="1:34">
      <c r="A29" s="491" t="s">
        <v>808</v>
      </c>
      <c r="B29" s="492" t="s">
        <v>1978</v>
      </c>
      <c r="C29" s="493">
        <f t="shared" ref="C29:F29" si="24">SUM(C30:C33)</f>
        <v>37</v>
      </c>
      <c r="D29" s="493">
        <f t="shared" si="24"/>
        <v>3369915.5</v>
      </c>
      <c r="E29" s="493">
        <f t="shared" si="24"/>
        <v>833399.4</v>
      </c>
      <c r="F29" s="493">
        <f t="shared" si="24"/>
        <v>676702.8</v>
      </c>
      <c r="G29" s="494">
        <f>F29/$F$7</f>
        <v>0.20374305877263</v>
      </c>
      <c r="H29" s="498">
        <f>SUM(H30:H33)</f>
        <v>0</v>
      </c>
      <c r="I29" s="504">
        <f t="shared" si="5"/>
        <v>0</v>
      </c>
      <c r="J29" s="493">
        <f>SUM(J30:J33)</f>
        <v>14</v>
      </c>
      <c r="K29" s="493">
        <f t="shared" ref="K29:AE29" si="25">SUM(K30:K33)</f>
        <v>925664.8</v>
      </c>
      <c r="L29" s="493">
        <f t="shared" si="25"/>
        <v>72520.8</v>
      </c>
      <c r="M29" s="397">
        <f>L29/F29</f>
        <v>0.107167873400258</v>
      </c>
      <c r="N29" s="508">
        <f>SUM(N30:N33)</f>
        <v>0</v>
      </c>
      <c r="O29" s="397">
        <f t="shared" si="7"/>
        <v>0</v>
      </c>
      <c r="P29" s="493">
        <f>SUM(P30:P33)</f>
        <v>0</v>
      </c>
      <c r="Q29" s="455">
        <f t="shared" si="8"/>
        <v>0</v>
      </c>
      <c r="R29" s="493">
        <f t="shared" si="25"/>
        <v>17</v>
      </c>
      <c r="S29" s="493">
        <f t="shared" si="25"/>
        <v>1836686.7</v>
      </c>
      <c r="T29" s="493">
        <f t="shared" si="25"/>
        <v>374452.4</v>
      </c>
      <c r="U29" s="493">
        <f t="shared" si="25"/>
        <v>455565</v>
      </c>
      <c r="V29" s="397">
        <f>U29/F29</f>
        <v>0.673212819571605</v>
      </c>
      <c r="W29" s="508">
        <f>SUM(W30:W33)</f>
        <v>0</v>
      </c>
      <c r="X29" s="397">
        <f t="shared" si="10"/>
        <v>0</v>
      </c>
      <c r="Y29" s="493">
        <f>SUM(Y30:Y33)</f>
        <v>0</v>
      </c>
      <c r="Z29" s="516">
        <f t="shared" si="25"/>
        <v>6</v>
      </c>
      <c r="AA29" s="493">
        <f t="shared" si="25"/>
        <v>607564</v>
      </c>
      <c r="AB29" s="493">
        <f t="shared" si="25"/>
        <v>458947</v>
      </c>
      <c r="AC29" s="493">
        <f t="shared" si="25"/>
        <v>148617</v>
      </c>
      <c r="AD29" s="397">
        <f>AC29/F29</f>
        <v>0.219619307028137</v>
      </c>
      <c r="AE29" s="508">
        <f t="shared" si="25"/>
        <v>0</v>
      </c>
      <c r="AF29" s="397">
        <f t="shared" si="11"/>
        <v>0</v>
      </c>
      <c r="AG29" s="493">
        <f>SUM(AG30:AG33)</f>
        <v>0</v>
      </c>
      <c r="AH29" s="455">
        <f t="shared" si="12"/>
        <v>0</v>
      </c>
    </row>
    <row r="30" s="469" customFormat="1" ht="35.1" hidden="1" customHeight="1" spans="1:34">
      <c r="A30" s="491"/>
      <c r="B30" s="495" t="s">
        <v>1997</v>
      </c>
      <c r="C30" s="496">
        <f t="shared" ref="C30:D33" si="26">J30+R30+Z30</f>
        <v>24</v>
      </c>
      <c r="D30" s="496">
        <f t="shared" si="26"/>
        <v>2452460.5</v>
      </c>
      <c r="E30" s="496">
        <f t="shared" si="14"/>
        <v>578386.4</v>
      </c>
      <c r="F30" s="496">
        <f t="shared" ref="F30:F33" si="27">L30+U30+AC30</f>
        <v>500315.8</v>
      </c>
      <c r="G30" s="496"/>
      <c r="H30" s="497">
        <f t="shared" ref="H30:H33" si="28">N30+W30+AE30</f>
        <v>0</v>
      </c>
      <c r="I30" s="504">
        <f t="shared" si="5"/>
        <v>0</v>
      </c>
      <c r="J30" s="493">
        <f>COUNTIF(开!AZ$8:AZ$213,$B$29&amp;$B30)</f>
        <v>8</v>
      </c>
      <c r="K30" s="493">
        <f>SUMIF(开!$AZ$8:$AZ$213,$B$29&amp;$B30,开!$F$8:$F$213)</f>
        <v>570680.8</v>
      </c>
      <c r="L30" s="509">
        <f>SUMIF(开!$AZ$8:$AZ$213,$B$29&amp;$B30,开!$L$8:$L$213)</f>
        <v>38020.8</v>
      </c>
      <c r="M30" s="509"/>
      <c r="N30" s="509">
        <f>SUMIF(开!$AZ$8:$AZ$213,$B$29&amp;$B30,开!$P$8:$P$213)</f>
        <v>0</v>
      </c>
      <c r="O30" s="397">
        <f t="shared" si="7"/>
        <v>0</v>
      </c>
      <c r="P30" s="509">
        <f>SUMIF(开!$AZ$8:$AZ$213,$B$29&amp;$B30,开!$BO$8:$BO$213)</f>
        <v>0</v>
      </c>
      <c r="Q30" s="455">
        <f t="shared" si="8"/>
        <v>0</v>
      </c>
      <c r="R30" s="493">
        <f>COUNTIF('续 '!AR$8:AR$198,$B$29&amp;$B30)</f>
        <v>13</v>
      </c>
      <c r="S30" s="493">
        <f>SUMIF('续 '!$AR$8:$AR$198,$B$29&amp;$B30,'续 '!$F$8:$F$198)</f>
        <v>1499603.7</v>
      </c>
      <c r="T30" s="509">
        <f>SUMIF('续 '!$AR$8:$AR$198,$B$29&amp;$B30,'续 '!$G$8:$G$198)</f>
        <v>279940.4</v>
      </c>
      <c r="U30" s="493">
        <f>SUMIF('续 '!$AR$8:$AR$198,$B$29&amp;$B30,'续 '!$L$8:$L$198)</f>
        <v>378565</v>
      </c>
      <c r="V30" s="493"/>
      <c r="W30" s="493">
        <f>SUMIF('续 '!$AR$8:$AR$198,$B$29&amp;$B30,'续 '!$O$8:$O$198)</f>
        <v>0</v>
      </c>
      <c r="X30" s="397">
        <f t="shared" si="10"/>
        <v>0</v>
      </c>
      <c r="Y30" s="493">
        <f>SUMIF('续 '!$AR$8:$AR$198,$B$29&amp;$B30,'续 '!$BJ$8:$BJ$198)</f>
        <v>0</v>
      </c>
      <c r="Z30" s="516">
        <f>COUNTIF(竣!AS$8:AS$130,$B$29&amp;$B30)</f>
        <v>3</v>
      </c>
      <c r="AA30" s="493">
        <f>SUMIF(竣!AS$8:AS$130,$B$29&amp;$B30,竣!F$8:F$130)</f>
        <v>382176</v>
      </c>
      <c r="AB30" s="509">
        <f>SUMIF(竣!AS$8:AS$130,$B$29&amp;$B30,竣!G$8:G$130)</f>
        <v>298446</v>
      </c>
      <c r="AC30" s="493">
        <f>SUMIF(竣!AS$8:AS$130,$B$29&amp;$B30,竣!L$8:L$130)</f>
        <v>83730</v>
      </c>
      <c r="AE30" s="493">
        <f>SUMIF(竣!$AS$8:$AS$130,$B$29&amp;$B30,竣!O$8:O$130)</f>
        <v>0</v>
      </c>
      <c r="AF30" s="397">
        <f t="shared" si="11"/>
        <v>0</v>
      </c>
      <c r="AG30" s="493">
        <f>SUMIF(竣!AS$8:AS$130,$B$29&amp;$B30,竣!BK$8:BK$130)</f>
        <v>0</v>
      </c>
      <c r="AH30" s="455">
        <f t="shared" si="12"/>
        <v>0</v>
      </c>
    </row>
    <row r="31" s="469" customFormat="1" ht="35.1" hidden="1" customHeight="1" spans="1:34">
      <c r="A31" s="491"/>
      <c r="B31" s="495" t="s">
        <v>1977</v>
      </c>
      <c r="C31" s="496">
        <f t="shared" si="26"/>
        <v>10</v>
      </c>
      <c r="D31" s="496">
        <f t="shared" si="26"/>
        <v>779955</v>
      </c>
      <c r="E31" s="496">
        <f t="shared" si="14"/>
        <v>220013</v>
      </c>
      <c r="F31" s="496">
        <f t="shared" si="27"/>
        <v>117387</v>
      </c>
      <c r="G31" s="496"/>
      <c r="H31" s="497">
        <f t="shared" si="28"/>
        <v>0</v>
      </c>
      <c r="I31" s="504">
        <f t="shared" si="5"/>
        <v>0</v>
      </c>
      <c r="J31" s="493">
        <f>COUNTIF(开!AZ$8:AZ$213,$B$29&amp;$B31)</f>
        <v>5</v>
      </c>
      <c r="K31" s="493">
        <f>SUMIF(开!$AZ$8:$AZ$213,$B$29&amp;$B31,开!$F$8:$F$213)</f>
        <v>337484</v>
      </c>
      <c r="L31" s="509">
        <f>SUMIF(开!$AZ$8:$AZ$213,$B$29&amp;$B31,开!$L$8:$L$213)</f>
        <v>29500</v>
      </c>
      <c r="M31" s="509"/>
      <c r="N31" s="509">
        <f>SUMIF(开!$AZ$8:$AZ$213,$B$29&amp;$B31,开!$P$8:$P$213)</f>
        <v>0</v>
      </c>
      <c r="O31" s="397">
        <f t="shared" si="7"/>
        <v>0</v>
      </c>
      <c r="P31" s="509">
        <f>SUMIF(开!$AZ$8:$AZ$213,$B$29&amp;$B31,开!$BO$8:$BO$213)</f>
        <v>0</v>
      </c>
      <c r="Q31" s="455">
        <f t="shared" si="8"/>
        <v>0</v>
      </c>
      <c r="R31" s="493">
        <f>COUNTIF('续 '!AR$8:AR$198,$B$29&amp;$B31)</f>
        <v>3</v>
      </c>
      <c r="S31" s="493">
        <f>SUMIF('续 '!$AR$8:$AR$198,$B$29&amp;$B31,'续 '!$F$8:$F$198)</f>
        <v>251083</v>
      </c>
      <c r="T31" s="509">
        <f>SUMIF('续 '!$AR$8:$AR$198,$B$29&amp;$B31,'续 '!$G$8:$G$198)</f>
        <v>79512</v>
      </c>
      <c r="U31" s="493">
        <f>SUMIF('续 '!$AR$8:$AR$198,$B$29&amp;$B31,'续 '!$L$8:$L$198)</f>
        <v>37000</v>
      </c>
      <c r="V31" s="493"/>
      <c r="W31" s="493">
        <f>SUMIF('续 '!$AR$8:$AR$198,$B$29&amp;$B31,'续 '!$O$8:$O$198)</f>
        <v>0</v>
      </c>
      <c r="X31" s="397">
        <f t="shared" si="10"/>
        <v>0</v>
      </c>
      <c r="Y31" s="493">
        <f>SUMIF('续 '!$AR$8:$AR$198,$B$29&amp;$B31,'续 '!$BJ$8:$BJ$198)</f>
        <v>0</v>
      </c>
      <c r="Z31" s="516">
        <f>COUNTIF(竣!AS$8:AS$130,$B$29&amp;$B31)</f>
        <v>2</v>
      </c>
      <c r="AA31" s="493">
        <f>SUMIF(竣!AS$8:AS$130,$B$29&amp;$B31,竣!F$8:F$130)</f>
        <v>191388</v>
      </c>
      <c r="AB31" s="509">
        <f>SUMIF(竣!AS$8:AS$130,$B$29&amp;$B31,竣!G$8:G$130)</f>
        <v>140501</v>
      </c>
      <c r="AC31" s="493">
        <f>SUMIF(竣!AS$8:AS$130,$B$29&amp;$B31,竣!L$8:L$130)</f>
        <v>50887</v>
      </c>
      <c r="AE31" s="493">
        <f>SUMIF(竣!$AS$8:$AS$130,$B$29&amp;$B31,竣!O$8:O$130)</f>
        <v>0</v>
      </c>
      <c r="AF31" s="397">
        <f t="shared" si="11"/>
        <v>0</v>
      </c>
      <c r="AG31" s="493">
        <f>SUMIF(竣!AS$8:AS$130,$B$29&amp;$B31,竣!BK$8:BK$130)</f>
        <v>0</v>
      </c>
      <c r="AH31" s="455">
        <f t="shared" si="12"/>
        <v>0</v>
      </c>
    </row>
    <row r="32" s="469" customFormat="1" ht="35.1" hidden="1" customHeight="1" spans="1:34">
      <c r="A32" s="491"/>
      <c r="B32" s="495" t="s">
        <v>1993</v>
      </c>
      <c r="C32" s="496">
        <f t="shared" si="26"/>
        <v>3</v>
      </c>
      <c r="D32" s="496">
        <f t="shared" si="26"/>
        <v>137500</v>
      </c>
      <c r="E32" s="496">
        <f t="shared" si="14"/>
        <v>35000</v>
      </c>
      <c r="F32" s="496">
        <f t="shared" si="27"/>
        <v>59000</v>
      </c>
      <c r="G32" s="496"/>
      <c r="H32" s="497">
        <f t="shared" si="28"/>
        <v>0</v>
      </c>
      <c r="I32" s="504">
        <f t="shared" si="5"/>
        <v>0</v>
      </c>
      <c r="J32" s="493">
        <f>COUNTIF(开!AZ$8:AZ$213,$B$29&amp;$B32)</f>
        <v>1</v>
      </c>
      <c r="K32" s="493">
        <f>SUMIF(开!$AZ$8:$AZ$213,$B$29&amp;$B32,开!$F$8:$F$213)</f>
        <v>17500</v>
      </c>
      <c r="L32" s="509">
        <f>SUMIF(开!$AZ$8:$AZ$213,$B$29&amp;$B32,开!$L$8:$L$213)</f>
        <v>5000</v>
      </c>
      <c r="M32" s="509"/>
      <c r="N32" s="509">
        <f>SUMIF(开!$AZ$8:$AZ$213,$B$29&amp;$B32,开!$P$8:$P$213)</f>
        <v>0</v>
      </c>
      <c r="O32" s="397">
        <f t="shared" si="7"/>
        <v>0</v>
      </c>
      <c r="P32" s="509">
        <f>SUMIF(开!$AZ$8:$AZ$213,$B$29&amp;$B32,开!$BO$8:$BO$213)</f>
        <v>0</v>
      </c>
      <c r="Q32" s="455">
        <f t="shared" si="8"/>
        <v>0</v>
      </c>
      <c r="R32" s="493">
        <f>COUNTIF('续 '!AR$8:AR$198,$B$29&amp;$B32)</f>
        <v>1</v>
      </c>
      <c r="S32" s="493">
        <f>SUMIF('续 '!$AR$8:$AR$198,$B$29&amp;$B32,'续 '!$F$8:$F$198)</f>
        <v>86000</v>
      </c>
      <c r="T32" s="509">
        <f>SUMIF('续 '!$AR$8:$AR$198,$B$29&amp;$B32,'续 '!$G$8:$G$198)</f>
        <v>15000</v>
      </c>
      <c r="U32" s="493">
        <f>SUMIF('续 '!$AR$8:$AR$198,$B$29&amp;$B32,'续 '!$L$8:$L$198)</f>
        <v>40000</v>
      </c>
      <c r="V32" s="493"/>
      <c r="W32" s="493">
        <f>SUMIF('续 '!$AR$8:$AR$198,$B$29&amp;$B32,'续 '!$O$8:$O$198)</f>
        <v>0</v>
      </c>
      <c r="X32" s="397">
        <f t="shared" si="10"/>
        <v>0</v>
      </c>
      <c r="Y32" s="493">
        <f>SUMIF('续 '!$AR$8:$AR$198,$B$29&amp;$B32,'续 '!$BJ$8:$BJ$198)</f>
        <v>0</v>
      </c>
      <c r="Z32" s="516">
        <f>COUNTIF(竣!AS$8:AS$130,$B$29&amp;$B32)</f>
        <v>1</v>
      </c>
      <c r="AA32" s="493">
        <f>SUMIF(竣!AS$8:AS$130,$B$29&amp;$B32,竣!F$8:F$130)</f>
        <v>34000</v>
      </c>
      <c r="AB32" s="509">
        <f>SUMIF(竣!AS$8:AS$130,$B$29&amp;$B32,竣!G$8:G$130)</f>
        <v>20000</v>
      </c>
      <c r="AC32" s="493">
        <f>SUMIF(竣!AS$8:AS$130,$B$29&amp;$B32,竣!L$8:L$130)</f>
        <v>14000</v>
      </c>
      <c r="AE32" s="493">
        <f>SUMIF(竣!$AS$8:$AS$130,$B$29&amp;$B32,竣!O$8:O$130)</f>
        <v>0</v>
      </c>
      <c r="AF32" s="397">
        <f t="shared" si="11"/>
        <v>0</v>
      </c>
      <c r="AG32" s="493">
        <f>SUMIF(竣!AS$8:AS$130,$B$29&amp;$B32,竣!BK$8:BK$130)</f>
        <v>0</v>
      </c>
      <c r="AH32" s="455">
        <f t="shared" si="12"/>
        <v>0</v>
      </c>
    </row>
    <row r="33" s="469" customFormat="1" ht="35.1" hidden="1" customHeight="1" spans="1:34">
      <c r="A33" s="491"/>
      <c r="B33" s="495" t="s">
        <v>2742</v>
      </c>
      <c r="C33" s="496">
        <f t="shared" si="26"/>
        <v>0</v>
      </c>
      <c r="D33" s="496">
        <f t="shared" si="26"/>
        <v>0</v>
      </c>
      <c r="E33" s="496">
        <f t="shared" si="14"/>
        <v>0</v>
      </c>
      <c r="F33" s="496">
        <f t="shared" si="27"/>
        <v>0</v>
      </c>
      <c r="G33" s="496"/>
      <c r="H33" s="497">
        <f t="shared" si="28"/>
        <v>0</v>
      </c>
      <c r="I33" s="504" t="e">
        <f t="shared" si="5"/>
        <v>#DIV/0!</v>
      </c>
      <c r="J33" s="493">
        <f>COUNTIF(开!AZ$8:AZ$213,$B$29&amp;$B33)</f>
        <v>0</v>
      </c>
      <c r="K33" s="493">
        <f>SUMIF(开!$AZ$8:$AZ$213,$B$29&amp;$B33,开!$F$8:$F$213)</f>
        <v>0</v>
      </c>
      <c r="L33" s="509">
        <f>SUMIF(开!$AZ$8:$AZ$213,$B$29&amp;$B33,开!$L$8:$L$213)</f>
        <v>0</v>
      </c>
      <c r="M33" s="509"/>
      <c r="N33" s="509">
        <f>SUMIF(开!$AZ$8:$AZ$213,$B$29&amp;$B33,开!$P$8:$P$213)</f>
        <v>0</v>
      </c>
      <c r="O33" s="397" t="e">
        <f t="shared" si="7"/>
        <v>#DIV/0!</v>
      </c>
      <c r="P33" s="509">
        <f>SUMIF(开!$AZ$8:$AZ$213,$B$29&amp;$B33,开!$BO$8:$BO$213)</f>
        <v>0</v>
      </c>
      <c r="Q33" s="455" t="e">
        <f t="shared" si="8"/>
        <v>#DIV/0!</v>
      </c>
      <c r="R33" s="493">
        <f>COUNTIF('续 '!AR$8:AR$198,$B$29&amp;$B33)</f>
        <v>0</v>
      </c>
      <c r="S33" s="493">
        <f>SUMIF('续 '!$AR$8:$AR$198,$B$29&amp;$B33,'续 '!$F$8:$F$198)</f>
        <v>0</v>
      </c>
      <c r="T33" s="509">
        <f>SUMIF('续 '!$AR$8:$AR$198,$B$29&amp;$B33,'续 '!$G$8:$G$198)</f>
        <v>0</v>
      </c>
      <c r="U33" s="493">
        <f>SUMIF('续 '!$AR$8:$AR$198,$B$29&amp;$B33,'续 '!$L$8:$L$198)</f>
        <v>0</v>
      </c>
      <c r="V33" s="493"/>
      <c r="W33" s="493">
        <f>SUMIF('续 '!$AR$8:$AR$198,$B$29&amp;$B33,'续 '!$O$8:$O$198)</f>
        <v>0</v>
      </c>
      <c r="X33" s="397" t="e">
        <f t="shared" si="10"/>
        <v>#DIV/0!</v>
      </c>
      <c r="Y33" s="493">
        <f>SUMIF('续 '!$AR$8:$AR$198,$B$29&amp;$B33,'续 '!$BJ$8:$BJ$198)</f>
        <v>0</v>
      </c>
      <c r="Z33" s="516">
        <f>COUNTIF(竣!AS$8:AS$130,$B$29&amp;$B33)</f>
        <v>0</v>
      </c>
      <c r="AA33" s="493">
        <f>SUMIF(竣!AS$8:AS$130,$B$29&amp;$B33,竣!F$8:F$130)</f>
        <v>0</v>
      </c>
      <c r="AB33" s="509">
        <f>SUMIF(竣!AS$8:AS$130,$B$29&amp;$B33,竣!G$8:G$130)</f>
        <v>0</v>
      </c>
      <c r="AC33" s="493">
        <f>SUMIF(竣!AS$8:AS$130,$B$29&amp;$B33,竣!L$8:L$130)</f>
        <v>0</v>
      </c>
      <c r="AE33" s="493">
        <f>SUMIF(竣!$AS$8:$AS$130,$B$29&amp;$B33,竣!O$8:O$130)</f>
        <v>0</v>
      </c>
      <c r="AF33" s="397" t="e">
        <f t="shared" si="11"/>
        <v>#DIV/0!</v>
      </c>
      <c r="AG33" s="493">
        <f>SUMIF(竣!AS$8:AS$130,$B$29&amp;$B33,竣!BK$8:BK$130)</f>
        <v>0</v>
      </c>
      <c r="AH33" s="455" t="e">
        <f t="shared" si="12"/>
        <v>#DIV/0!</v>
      </c>
    </row>
    <row r="34" s="469" customFormat="1" ht="31.9" customHeight="1" spans="1:34">
      <c r="A34" s="491" t="s">
        <v>2012</v>
      </c>
      <c r="B34" s="492" t="s">
        <v>2017</v>
      </c>
      <c r="C34" s="493">
        <f t="shared" ref="C34:F34" si="29">SUM(C35:C39)</f>
        <v>83</v>
      </c>
      <c r="D34" s="493">
        <f t="shared" si="29"/>
        <v>1231016.95</v>
      </c>
      <c r="E34" s="493">
        <f t="shared" si="29"/>
        <v>315393</v>
      </c>
      <c r="F34" s="493">
        <f t="shared" si="29"/>
        <v>267290</v>
      </c>
      <c r="G34" s="494">
        <f>F34/$F$7</f>
        <v>0.0804762181852006</v>
      </c>
      <c r="H34" s="498">
        <f t="shared" ref="H34:L34" si="30">SUM(H35:H39)</f>
        <v>0</v>
      </c>
      <c r="I34" s="504">
        <f t="shared" si="5"/>
        <v>0</v>
      </c>
      <c r="J34" s="493">
        <f t="shared" si="30"/>
        <v>27</v>
      </c>
      <c r="K34" s="493">
        <f t="shared" si="30"/>
        <v>314776.46</v>
      </c>
      <c r="L34" s="493">
        <f t="shared" si="30"/>
        <v>90881</v>
      </c>
      <c r="M34" s="397">
        <f>L34/F34</f>
        <v>0.34000897901156</v>
      </c>
      <c r="N34" s="508">
        <f t="shared" ref="N34:U34" si="31">SUM(N35:N39)</f>
        <v>0</v>
      </c>
      <c r="O34" s="397">
        <f t="shared" si="7"/>
        <v>0</v>
      </c>
      <c r="P34" s="493">
        <f t="shared" si="31"/>
        <v>0</v>
      </c>
      <c r="Q34" s="455">
        <f t="shared" si="8"/>
        <v>0</v>
      </c>
      <c r="R34" s="493">
        <f t="shared" si="31"/>
        <v>34</v>
      </c>
      <c r="S34" s="493">
        <f t="shared" si="31"/>
        <v>765613.49</v>
      </c>
      <c r="T34" s="493">
        <f t="shared" si="31"/>
        <v>239078</v>
      </c>
      <c r="U34" s="493">
        <f t="shared" si="31"/>
        <v>102097</v>
      </c>
      <c r="V34" s="397">
        <f>U34/F34</f>
        <v>0.381970893037525</v>
      </c>
      <c r="W34" s="508">
        <f t="shared" ref="W34:AC34" si="32">SUM(W35:W39)</f>
        <v>0</v>
      </c>
      <c r="X34" s="397">
        <f t="shared" si="10"/>
        <v>0</v>
      </c>
      <c r="Y34" s="493" t="e">
        <f t="shared" si="32"/>
        <v>#REF!</v>
      </c>
      <c r="Z34" s="516">
        <f t="shared" si="32"/>
        <v>22</v>
      </c>
      <c r="AA34" s="493">
        <f t="shared" si="32"/>
        <v>150627</v>
      </c>
      <c r="AB34" s="493">
        <f t="shared" si="32"/>
        <v>76315</v>
      </c>
      <c r="AC34" s="493">
        <f t="shared" si="32"/>
        <v>74312</v>
      </c>
      <c r="AD34" s="397">
        <f>AC34/F34</f>
        <v>0.278020127950915</v>
      </c>
      <c r="AE34" s="508">
        <f>SUM(AE35:AE39)</f>
        <v>0</v>
      </c>
      <c r="AF34" s="397">
        <f t="shared" si="11"/>
        <v>0</v>
      </c>
      <c r="AG34" s="493">
        <f>SUM(AG35:AG39)</f>
        <v>0</v>
      </c>
      <c r="AH34" s="455">
        <f t="shared" si="12"/>
        <v>0</v>
      </c>
    </row>
    <row r="35" s="469" customFormat="1" ht="35.1" hidden="1" customHeight="1" spans="1:34">
      <c r="A35" s="491"/>
      <c r="B35" s="495" t="s">
        <v>2016</v>
      </c>
      <c r="C35" s="496">
        <f t="shared" ref="C35:D38" si="33">J35+R35+Z35</f>
        <v>11</v>
      </c>
      <c r="D35" s="496">
        <f t="shared" si="33"/>
        <v>116104.8</v>
      </c>
      <c r="E35" s="496">
        <f t="shared" si="14"/>
        <v>26651</v>
      </c>
      <c r="F35" s="496">
        <f t="shared" ref="F35:F39" si="34">L35+U35+AC35</f>
        <v>55937</v>
      </c>
      <c r="G35" s="496"/>
      <c r="H35" s="497">
        <f t="shared" ref="H35:H39" si="35">N35+W35+AE35</f>
        <v>0</v>
      </c>
      <c r="I35" s="504">
        <f t="shared" si="5"/>
        <v>0</v>
      </c>
      <c r="J35" s="493">
        <f>COUNTIF(开!AZ$8:AZ$213,$B$34&amp;$B35)</f>
        <v>1</v>
      </c>
      <c r="K35" s="493">
        <f>SUMIF(开!$AZ$8:$AZ$213,$B$34&amp;$B35,开!$F$8:$F$213)</f>
        <v>25307.8</v>
      </c>
      <c r="L35" s="509">
        <f>SUMIF(开!$AZ$8:$AZ$213,$B$34&amp;$B35,开!$L$8:$L$213)</f>
        <v>5000</v>
      </c>
      <c r="M35" s="509"/>
      <c r="N35" s="509">
        <f>SUMIF(开!$AZ$8:$AZ$213,$B$34&amp;$B35,开!$P$8:$P$213)</f>
        <v>0</v>
      </c>
      <c r="O35" s="397">
        <f t="shared" si="7"/>
        <v>0</v>
      </c>
      <c r="P35" s="509">
        <f>SUMIF(开!$AZ$8:$AZ$213,$B$34&amp;$B35,开!$BO$8:$BO$213)</f>
        <v>0</v>
      </c>
      <c r="Q35" s="455">
        <f t="shared" si="8"/>
        <v>0</v>
      </c>
      <c r="R35" s="493">
        <f>COUNTIF('续 '!AR$8:AR$198,$B$34&amp;$B35)</f>
        <v>3</v>
      </c>
      <c r="S35" s="493">
        <f>SUMIF('续 '!$AR$8:$AR$198,$B$34&amp;$B35,'续 '!$F$8:$F$198)</f>
        <v>31609</v>
      </c>
      <c r="T35" s="509">
        <f>SUMIF('续 '!$AR$8:$AR$198,$B$34&amp;$B35,'续 '!$G$8:$G$198)</f>
        <v>7400</v>
      </c>
      <c r="U35" s="493">
        <f>SUMIF('续 '!$AR$8:$AR$198,$B$34&amp;$B35,'续 '!$L$8:$L$198)</f>
        <v>11000</v>
      </c>
      <c r="V35" s="493"/>
      <c r="W35" s="493">
        <f>SUMIF('续 '!$AR$8:$AR$198,$B$34&amp;$B35,'续 '!$O$8:$O$198)</f>
        <v>0</v>
      </c>
      <c r="X35" s="397">
        <f t="shared" si="10"/>
        <v>0</v>
      </c>
      <c r="Y35" s="493">
        <f>SUMIF('续 '!$AR$8:$AR$198,$B$34&amp;$B35,'续 '!$BJ$8:$BJ$198)</f>
        <v>0</v>
      </c>
      <c r="Z35" s="516">
        <f>COUNTIF(竣!AS$8:AS$130,$B$34&amp;$B35)</f>
        <v>7</v>
      </c>
      <c r="AA35" s="493">
        <f>SUMIF(竣!AS$8:AS$130,$B$34&amp;$B35,竣!F$8:F$130)</f>
        <v>59188</v>
      </c>
      <c r="AB35" s="509">
        <f>SUMIF(竣!AS$8:AS$130,$B$34&amp;$B35,竣!G$8:G$130)</f>
        <v>19251</v>
      </c>
      <c r="AC35" s="493">
        <f>SUMIF(竣!AS$8:AS$130,$B$34&amp;$B35,竣!L$8:L$130)</f>
        <v>39937</v>
      </c>
      <c r="AE35" s="493">
        <f>SUMIF(竣!$AS$8:$AS$130,$B$34&amp;$B35,竣!O$8:O$130)</f>
        <v>0</v>
      </c>
      <c r="AF35" s="397">
        <f t="shared" si="11"/>
        <v>0</v>
      </c>
      <c r="AG35" s="493">
        <f>SUMIF(竣!AS$8:AS$130,$B$34&amp;$B35,竣!BK$8:BK$130)</f>
        <v>0</v>
      </c>
      <c r="AH35" s="455">
        <f t="shared" si="12"/>
        <v>0</v>
      </c>
    </row>
    <row r="36" s="469" customFormat="1" ht="35.1" hidden="1" customHeight="1" spans="1:34">
      <c r="A36" s="491"/>
      <c r="B36" s="495" t="s">
        <v>2020</v>
      </c>
      <c r="C36" s="496">
        <f t="shared" si="33"/>
        <v>33</v>
      </c>
      <c r="D36" s="496">
        <f t="shared" si="33"/>
        <v>337663.46</v>
      </c>
      <c r="E36" s="496">
        <f t="shared" si="14"/>
        <v>82180</v>
      </c>
      <c r="F36" s="496">
        <f t="shared" si="34"/>
        <v>67763</v>
      </c>
      <c r="G36" s="496"/>
      <c r="H36" s="497">
        <f t="shared" si="35"/>
        <v>0</v>
      </c>
      <c r="I36" s="504">
        <f t="shared" si="5"/>
        <v>0</v>
      </c>
      <c r="J36" s="493">
        <f>COUNTIF(开!AZ$8:AZ$213,$B$34&amp;$B36)</f>
        <v>14</v>
      </c>
      <c r="K36" s="493">
        <f>SUMIF(开!$AZ$8:$AZ$213,$B$34&amp;$B36,开!$F$8:$F$213)</f>
        <v>107475</v>
      </c>
      <c r="L36" s="509">
        <f>SUMIF(开!$AZ$8:$AZ$213,$B$34&amp;$B36,开!$L$8:$L$213)</f>
        <v>33561</v>
      </c>
      <c r="M36" s="509"/>
      <c r="N36" s="509">
        <f>SUMIF(开!$AZ$8:$AZ$213,$B$34&amp;$B36,开!$P$8:$P$213)</f>
        <v>0</v>
      </c>
      <c r="O36" s="397">
        <f t="shared" si="7"/>
        <v>0</v>
      </c>
      <c r="P36" s="509">
        <f>SUMIF(开!$AZ$8:$AZ$213,$B$34&amp;$B36,开!$BO$8:$BO$213)</f>
        <v>0</v>
      </c>
      <c r="Q36" s="455">
        <f t="shared" si="8"/>
        <v>0</v>
      </c>
      <c r="R36" s="493">
        <f>COUNTIF('续 '!AR$8:AR$198,$B$34&amp;$B36)</f>
        <v>15</v>
      </c>
      <c r="S36" s="493">
        <f>SUMIF('续 '!$AR$8:$AR$198,$B$34&amp;$B36,'续 '!$F$8:$F$198)</f>
        <v>210573.46</v>
      </c>
      <c r="T36" s="509">
        <f>SUMIF('续 '!$AR$8:$AR$198,$B$34&amp;$B36,'续 '!$G$8:$G$198)</f>
        <v>66221</v>
      </c>
      <c r="U36" s="493">
        <f>SUMIF('续 '!$AR$8:$AR$198,$B$34&amp;$B36,'续 '!$L$8:$L$198)</f>
        <v>30546</v>
      </c>
      <c r="V36" s="493"/>
      <c r="W36" s="493">
        <f>SUMIF('续 '!$AR$8:$AR$198,$B$34&amp;$B36,'续 '!$O$8:$O$198)</f>
        <v>0</v>
      </c>
      <c r="X36" s="397">
        <f t="shared" si="10"/>
        <v>0</v>
      </c>
      <c r="Y36" s="493">
        <f>SUMIF('续 '!$AR$8:$AR$198,$B$34&amp;$B36,'续 '!$BJ$8:$BJ$198)</f>
        <v>0</v>
      </c>
      <c r="Z36" s="516">
        <f>COUNTIF(竣!AS$8:AS$130,$B$34&amp;$B36)</f>
        <v>4</v>
      </c>
      <c r="AA36" s="493">
        <f>SUMIF(竣!AS$8:AS$130,$B$34&amp;$B36,竣!F$8:F$130)</f>
        <v>19615</v>
      </c>
      <c r="AB36" s="509">
        <f>SUMIF(竣!AS$8:AS$130,$B$34&amp;$B36,竣!G$8:G$130)</f>
        <v>15959</v>
      </c>
      <c r="AC36" s="493">
        <f>SUMIF(竣!AS$8:AS$130,$B$34&amp;$B36,竣!L$8:L$130)</f>
        <v>3656</v>
      </c>
      <c r="AE36" s="493">
        <f>SUMIF(竣!$AS$8:$AS$130,$B$34&amp;$B36,竣!O$8:O$130)</f>
        <v>0</v>
      </c>
      <c r="AF36" s="397">
        <f t="shared" si="11"/>
        <v>0</v>
      </c>
      <c r="AG36" s="493">
        <f>SUMIF(竣!AS$8:AS$130,$B$34&amp;$B36,竣!BK$8:BK$130)</f>
        <v>0</v>
      </c>
      <c r="AH36" s="455">
        <f t="shared" si="12"/>
        <v>0</v>
      </c>
    </row>
    <row r="37" s="469" customFormat="1" ht="35.1" hidden="1" customHeight="1" spans="1:34">
      <c r="A37" s="491"/>
      <c r="B37" s="495" t="s">
        <v>2039</v>
      </c>
      <c r="C37" s="496">
        <f>J37+R37+Z37</f>
        <v>5</v>
      </c>
      <c r="D37" s="496">
        <f>K37+S37+AA37</f>
        <v>79777</v>
      </c>
      <c r="E37" s="496">
        <f t="shared" si="14"/>
        <v>25016</v>
      </c>
      <c r="F37" s="496">
        <f t="shared" si="34"/>
        <v>10371</v>
      </c>
      <c r="G37" s="496"/>
      <c r="H37" s="497">
        <f t="shared" si="35"/>
        <v>0</v>
      </c>
      <c r="I37" s="504">
        <f t="shared" si="5"/>
        <v>0</v>
      </c>
      <c r="J37" s="493">
        <f>COUNTIF(开!AZ$8:AZ$213,$B$34&amp;$B37)</f>
        <v>1</v>
      </c>
      <c r="K37" s="493">
        <f>SUMIF(开!$AZ$8:$AZ$213,$B$34&amp;$B37,开!$F$8:$F$213)</f>
        <v>11000</v>
      </c>
      <c r="L37" s="509">
        <f>SUMIF(开!$AZ$8:$AZ$213,$B$34&amp;$B37,开!$L$8:$L$213)</f>
        <v>1000</v>
      </c>
      <c r="M37" s="509"/>
      <c r="N37" s="509">
        <f>SUMIF(开!$AZ$8:$AZ$213,$B$34&amp;$B37,开!$P$8:$P$213)</f>
        <v>0</v>
      </c>
      <c r="O37" s="397">
        <f t="shared" si="7"/>
        <v>0</v>
      </c>
      <c r="P37" s="509">
        <f>SUMIF(开!$AZ$8:$AZ$213,$B$34&amp;$B37,开!$BO$8:$BO$213)</f>
        <v>0</v>
      </c>
      <c r="Q37" s="455">
        <f t="shared" si="8"/>
        <v>0</v>
      </c>
      <c r="R37" s="493">
        <f>COUNTIF('续 '!AR$8:AR$198,$B$34&amp;$B37)</f>
        <v>4</v>
      </c>
      <c r="S37" s="493">
        <f>SUMIF('续 '!$AR$8:$AR$198,$B$34&amp;$B37,'续 '!$F$8:$F$198)</f>
        <v>68777</v>
      </c>
      <c r="T37" s="509">
        <f>SUMIF('续 '!$AR$8:$AR$198,$B$34&amp;$B37,'续 '!$G$8:$G$198)</f>
        <v>25016</v>
      </c>
      <c r="U37" s="493">
        <f>SUMIF('续 '!$AR$8:$AR$198,$B$34&amp;$B37,'续 '!$L$8:$L$198)</f>
        <v>9371</v>
      </c>
      <c r="V37" s="493"/>
      <c r="W37" s="493">
        <f>SUMIF('续 '!$AR$8:$AR$198,$B$34&amp;$B37,'续 '!$O$8:$O$198)</f>
        <v>0</v>
      </c>
      <c r="X37" s="397">
        <f t="shared" si="10"/>
        <v>0</v>
      </c>
      <c r="Y37" s="493" t="e">
        <f>SUMIF('续 '!$AR$8:$AR$198,$B$34&amp;$B37,'续 '!$BJ$8:$BJ$198)</f>
        <v>#REF!</v>
      </c>
      <c r="Z37" s="516">
        <f>COUNTIF(竣!AS$8:AS$130,$B$34&amp;$B37)</f>
        <v>0</v>
      </c>
      <c r="AA37" s="493">
        <f>SUMIF(竣!AS$8:AS$130,$B$34&amp;$B37,竣!F$8:F$130)</f>
        <v>0</v>
      </c>
      <c r="AB37" s="509">
        <f>SUMIF(竣!AS$8:AS$130,$B$34&amp;$B37,竣!G$8:G$130)</f>
        <v>0</v>
      </c>
      <c r="AC37" s="493">
        <f>SUMIF(竣!AS$8:AS$130,$B$34&amp;$B37,竣!L$8:L$130)</f>
        <v>0</v>
      </c>
      <c r="AE37" s="493">
        <f>SUMIF(竣!$AS$8:$AS$130,$B$34&amp;$B37,竣!O$8:O$130)</f>
        <v>0</v>
      </c>
      <c r="AF37" s="397" t="e">
        <f t="shared" si="11"/>
        <v>#DIV/0!</v>
      </c>
      <c r="AG37" s="493">
        <f>SUMIF(竣!AS$8:AS$130,$B$34&amp;$B37,竣!BK$8:BK$130)</f>
        <v>0</v>
      </c>
      <c r="AH37" s="455" t="e">
        <f t="shared" si="12"/>
        <v>#DIV/0!</v>
      </c>
    </row>
    <row r="38" s="469" customFormat="1" ht="35.1" hidden="1" customHeight="1" spans="1:34">
      <c r="A38" s="491"/>
      <c r="B38" s="495" t="s">
        <v>2042</v>
      </c>
      <c r="C38" s="496">
        <f t="shared" si="33"/>
        <v>13</v>
      </c>
      <c r="D38" s="496">
        <f t="shared" si="33"/>
        <v>96143</v>
      </c>
      <c r="E38" s="496">
        <f t="shared" si="14"/>
        <v>30848</v>
      </c>
      <c r="F38" s="496">
        <f t="shared" si="34"/>
        <v>52773</v>
      </c>
      <c r="G38" s="496"/>
      <c r="H38" s="497">
        <f t="shared" si="35"/>
        <v>0</v>
      </c>
      <c r="I38" s="504">
        <f t="shared" si="5"/>
        <v>0</v>
      </c>
      <c r="J38" s="493">
        <f>COUNTIF(开!AZ$8:AZ$213,$B$34&amp;$B38)</f>
        <v>4</v>
      </c>
      <c r="K38" s="493">
        <f>SUMIF(开!$AZ$8:$AZ$213,$B$34&amp;$B38,开!$F$8:$F$213)</f>
        <v>36155</v>
      </c>
      <c r="L38" s="509">
        <f>SUMIF(开!$AZ$8:$AZ$213,$B$34&amp;$B38,开!$L$8:$L$213)</f>
        <v>27820</v>
      </c>
      <c r="M38" s="509"/>
      <c r="N38" s="509">
        <f>SUMIF(开!$AZ$8:$AZ$213,$B$34&amp;$B38,开!$P$8:$P$213)</f>
        <v>0</v>
      </c>
      <c r="O38" s="397">
        <f t="shared" si="7"/>
        <v>0</v>
      </c>
      <c r="P38" s="509">
        <f>SUMIF(开!$AZ$8:$AZ$213,$B$34&amp;$B38,开!$BO$8:$BO$213)</f>
        <v>0</v>
      </c>
      <c r="Q38" s="455">
        <f t="shared" si="8"/>
        <v>0</v>
      </c>
      <c r="R38" s="493">
        <f>COUNTIF('续 '!AR$8:AR$198,$B$34&amp;$B38)</f>
        <v>2</v>
      </c>
      <c r="S38" s="493">
        <f>SUMIF('续 '!$AR$8:$AR$198,$B$34&amp;$B38,'续 '!$F$8:$F$198)</f>
        <v>11340</v>
      </c>
      <c r="T38" s="509">
        <f>SUMIF('续 '!$AR$8:$AR$198,$B$34&amp;$B38,'续 '!$G$8:$G$198)</f>
        <v>2553</v>
      </c>
      <c r="U38" s="493">
        <f>SUMIF('续 '!$AR$8:$AR$198,$B$34&amp;$B38,'续 '!$L$8:$L$198)</f>
        <v>4600</v>
      </c>
      <c r="V38" s="493"/>
      <c r="W38" s="493">
        <f>SUMIF('续 '!$AR$8:$AR$198,$B$34&amp;$B38,'续 '!$O$8:$O$198)</f>
        <v>0</v>
      </c>
      <c r="X38" s="397">
        <f t="shared" si="10"/>
        <v>0</v>
      </c>
      <c r="Y38" s="493">
        <f>SUMIF('续 '!$AR$8:$AR$198,$B$34&amp;$B38,'续 '!$BJ$8:$BJ$198)</f>
        <v>0</v>
      </c>
      <c r="Z38" s="516">
        <f>COUNTIF(竣!AS$8:AS$130,$B$34&amp;$B38)</f>
        <v>7</v>
      </c>
      <c r="AA38" s="493">
        <f>SUMIF(竣!AS$8:AS$130,$B$34&amp;$B38,竣!F$8:F$130)</f>
        <v>48648</v>
      </c>
      <c r="AB38" s="509">
        <f>SUMIF(竣!AS$8:AS$130,$B$34&amp;$B38,竣!G$8:G$130)</f>
        <v>28295</v>
      </c>
      <c r="AC38" s="493">
        <f>SUMIF(竣!AS$8:AS$130,$B$34&amp;$B38,竣!L$8:L$130)</f>
        <v>20353</v>
      </c>
      <c r="AE38" s="493">
        <f>SUMIF(竣!$AS$8:$AS$130,$B$34&amp;$B38,竣!O$8:O$130)</f>
        <v>0</v>
      </c>
      <c r="AF38" s="397">
        <f t="shared" si="11"/>
        <v>0</v>
      </c>
      <c r="AG38" s="493">
        <f>SUMIF(竣!AS$8:AS$130,$B$34&amp;$B38,竣!BK$8:BK$130)</f>
        <v>0</v>
      </c>
      <c r="AH38" s="455">
        <f t="shared" si="12"/>
        <v>0</v>
      </c>
    </row>
    <row r="39" s="469" customFormat="1" ht="35.1" hidden="1" customHeight="1" spans="1:34">
      <c r="A39" s="491"/>
      <c r="B39" s="495" t="s">
        <v>2051</v>
      </c>
      <c r="C39" s="496">
        <f>J39+R39+Z39</f>
        <v>21</v>
      </c>
      <c r="D39" s="496">
        <f>K39+S39+AA39</f>
        <v>601328.69</v>
      </c>
      <c r="E39" s="496">
        <f t="shared" si="14"/>
        <v>150698</v>
      </c>
      <c r="F39" s="496">
        <f t="shared" si="34"/>
        <v>80446</v>
      </c>
      <c r="G39" s="496"/>
      <c r="H39" s="497">
        <f t="shared" si="35"/>
        <v>0</v>
      </c>
      <c r="I39" s="504">
        <f t="shared" si="5"/>
        <v>0</v>
      </c>
      <c r="J39" s="493">
        <f>COUNTIF(开!AZ$8:AZ$213,$B$34&amp;$B39)</f>
        <v>7</v>
      </c>
      <c r="K39" s="493">
        <f>SUMIF(开!$AZ$8:$AZ$213,$B$34&amp;$B39,开!$F$8:$F$213)</f>
        <v>134838.66</v>
      </c>
      <c r="L39" s="509">
        <f>SUMIF(开!$AZ$8:$AZ$213,$B$34&amp;$B39,开!$L$8:$L$213)</f>
        <v>23500</v>
      </c>
      <c r="M39" s="509"/>
      <c r="N39" s="509">
        <f>SUMIF(开!$AZ$8:$AZ$213,$B$34&amp;$B39,开!$P$8:$P$213)</f>
        <v>0</v>
      </c>
      <c r="O39" s="397">
        <f t="shared" si="7"/>
        <v>0</v>
      </c>
      <c r="P39" s="509">
        <f>SUMIF(开!$AZ$8:$AZ$213,$B$34&amp;$B39,开!$BO$8:$BO$213)</f>
        <v>0</v>
      </c>
      <c r="Q39" s="455">
        <f t="shared" si="8"/>
        <v>0</v>
      </c>
      <c r="R39" s="493">
        <f>COUNTIF('续 '!AR$8:AR$198,$B$34&amp;$B39)</f>
        <v>10</v>
      </c>
      <c r="S39" s="493">
        <f>SUMIF('续 '!$AR$8:$AR$198,$B$34&amp;$B39,'续 '!$F$8:$F$198)</f>
        <v>443314.03</v>
      </c>
      <c r="T39" s="509">
        <f>SUMIF('续 '!$AR$8:$AR$198,$B$34&amp;$B39,'续 '!$G$8:$G$198)</f>
        <v>137888</v>
      </c>
      <c r="U39" s="493">
        <f>SUMIF('续 '!$AR$8:$AR$198,$B$34&amp;$B39,'续 '!$L$8:$L$198)</f>
        <v>46580</v>
      </c>
      <c r="V39" s="493"/>
      <c r="W39" s="493">
        <f>SUMIF('续 '!$AR$8:$AR$198,$B$34&amp;$B39,'续 '!$O$8:$O$198)</f>
        <v>0</v>
      </c>
      <c r="X39" s="397">
        <f t="shared" si="10"/>
        <v>0</v>
      </c>
      <c r="Y39" s="493">
        <f>SUMIF('续 '!$AR$8:$AR$198,$B$34&amp;$B39,'续 '!$BJ$8:$BJ$198)</f>
        <v>0</v>
      </c>
      <c r="Z39" s="516">
        <f>COUNTIF(竣!AS$8:AS$130,$B$34&amp;$B39)</f>
        <v>4</v>
      </c>
      <c r="AA39" s="493">
        <f>SUMIF(竣!AS$8:AS$130,$B$34&amp;$B39,竣!F$8:F$130)</f>
        <v>23176</v>
      </c>
      <c r="AB39" s="509">
        <f>SUMIF(竣!AS$8:AS$130,$B$34&amp;$B39,竣!G$8:G$130)</f>
        <v>12810</v>
      </c>
      <c r="AC39" s="493">
        <f>SUMIF(竣!AS$8:AS$130,$B$34&amp;$B39,竣!L$8:L$130)</f>
        <v>10366</v>
      </c>
      <c r="AE39" s="493">
        <f>SUMIF(竣!$AS$8:$AS$130,$B$34&amp;$B39,竣!O$8:O$130)</f>
        <v>0</v>
      </c>
      <c r="AF39" s="397">
        <f t="shared" si="11"/>
        <v>0</v>
      </c>
      <c r="AG39" s="493">
        <f>SUMIF(竣!AS$8:AS$130,$B$34&amp;$B39,竣!BK$8:BK$130)</f>
        <v>0</v>
      </c>
      <c r="AH39" s="455">
        <f t="shared" si="12"/>
        <v>0</v>
      </c>
    </row>
    <row r="40" s="469" customFormat="1" ht="31.9" customHeight="1" spans="1:34">
      <c r="A40" s="491" t="s">
        <v>2059</v>
      </c>
      <c r="B40" s="492" t="s">
        <v>2061</v>
      </c>
      <c r="C40" s="493">
        <f t="shared" ref="C40:F40" si="36">SUM(C41:C46)</f>
        <v>70</v>
      </c>
      <c r="D40" s="493">
        <f t="shared" si="36"/>
        <v>3801116.086</v>
      </c>
      <c r="E40" s="493">
        <f t="shared" si="36"/>
        <v>581778</v>
      </c>
      <c r="F40" s="493">
        <f t="shared" si="36"/>
        <v>375306.086</v>
      </c>
      <c r="G40" s="494">
        <f>F40/$F$7</f>
        <v>0.112997921595158</v>
      </c>
      <c r="H40" s="498">
        <f>SUM(H41:H46)</f>
        <v>0</v>
      </c>
      <c r="I40" s="504">
        <f t="shared" si="5"/>
        <v>0</v>
      </c>
      <c r="J40" s="493">
        <f>SUM(J41:J46)</f>
        <v>25</v>
      </c>
      <c r="K40" s="493">
        <f t="shared" ref="K40:AE40" si="37">SUM(K41:K46)</f>
        <v>466765</v>
      </c>
      <c r="L40" s="493">
        <f t="shared" si="37"/>
        <v>88650</v>
      </c>
      <c r="M40" s="397">
        <f>L40/F40</f>
        <v>0.236207200754</v>
      </c>
      <c r="N40" s="508">
        <f>SUM(N41:N46)</f>
        <v>0</v>
      </c>
      <c r="O40" s="397">
        <f t="shared" si="7"/>
        <v>0</v>
      </c>
      <c r="P40" s="493">
        <f>SUM(P41:P46)</f>
        <v>0</v>
      </c>
      <c r="Q40" s="455">
        <f t="shared" si="8"/>
        <v>0</v>
      </c>
      <c r="R40" s="493">
        <f t="shared" si="37"/>
        <v>30</v>
      </c>
      <c r="S40" s="493">
        <f t="shared" si="37"/>
        <v>2986670</v>
      </c>
      <c r="T40" s="493">
        <f t="shared" si="37"/>
        <v>306179</v>
      </c>
      <c r="U40" s="493">
        <f t="shared" si="37"/>
        <v>218600</v>
      </c>
      <c r="V40" s="397">
        <f>U40/F40</f>
        <v>0.582457914098414</v>
      </c>
      <c r="W40" s="508">
        <f>SUM(W41:W46)</f>
        <v>0</v>
      </c>
      <c r="X40" s="397">
        <f t="shared" si="10"/>
        <v>0</v>
      </c>
      <c r="Y40" s="493">
        <f>SUM(Y41:Y46)</f>
        <v>0</v>
      </c>
      <c r="Z40" s="516">
        <f t="shared" si="37"/>
        <v>15</v>
      </c>
      <c r="AA40" s="493">
        <f t="shared" si="37"/>
        <v>347681.086</v>
      </c>
      <c r="AB40" s="493">
        <f t="shared" si="37"/>
        <v>275599</v>
      </c>
      <c r="AC40" s="493">
        <f t="shared" si="37"/>
        <v>68056.086</v>
      </c>
      <c r="AD40" s="397">
        <f>AC40/F40</f>
        <v>0.181334885147586</v>
      </c>
      <c r="AE40" s="508">
        <f t="shared" si="37"/>
        <v>0</v>
      </c>
      <c r="AF40" s="397">
        <f t="shared" si="11"/>
        <v>0</v>
      </c>
      <c r="AG40" s="493">
        <f>SUM(AG41:AG46)</f>
        <v>0</v>
      </c>
      <c r="AH40" s="455">
        <f t="shared" si="12"/>
        <v>0</v>
      </c>
    </row>
    <row r="41" s="469" customFormat="1" ht="35.1" hidden="1" customHeight="1" spans="1:34">
      <c r="A41" s="491"/>
      <c r="B41" s="495" t="s">
        <v>2016</v>
      </c>
      <c r="C41" s="496">
        <f t="shared" ref="C41:D46" si="38">J41+R41+Z41</f>
        <v>7</v>
      </c>
      <c r="D41" s="496">
        <f t="shared" si="38"/>
        <v>1223152</v>
      </c>
      <c r="E41" s="496">
        <f t="shared" si="14"/>
        <v>31000</v>
      </c>
      <c r="F41" s="496">
        <f t="shared" ref="F41:F46" si="39">L41+U41+AC41</f>
        <v>57230</v>
      </c>
      <c r="G41" s="496"/>
      <c r="H41" s="497">
        <f t="shared" ref="H41:H46" si="40">N41+W41+AE41</f>
        <v>0</v>
      </c>
      <c r="I41" s="504">
        <f t="shared" si="5"/>
        <v>0</v>
      </c>
      <c r="J41" s="493">
        <f>COUNTIF(开!AZ$8:AZ$213,$B$40&amp;$B41)</f>
        <v>2</v>
      </c>
      <c r="K41" s="493">
        <f>SUMIF(开!$AZ$8:$AZ$213,$B$40&amp;$B41,开!$F$8:$F$213)</f>
        <v>10264</v>
      </c>
      <c r="L41" s="509">
        <f>SUMIF(开!$AZ$8:$AZ$213,$B$40&amp;$B41,开!$L$8:$L$213)</f>
        <v>3200</v>
      </c>
      <c r="M41" s="509"/>
      <c r="N41" s="509">
        <f>SUMIF(开!$AZ$8:$AZ$213,$B$40&amp;$B41,开!$P$8:$P$213)</f>
        <v>0</v>
      </c>
      <c r="O41" s="397">
        <f t="shared" si="7"/>
        <v>0</v>
      </c>
      <c r="P41" s="509">
        <f>SUMIF(开!$AZ$8:$AZ$213,$B$40&amp;$B41,开!$BO$8:$BO$213)</f>
        <v>0</v>
      </c>
      <c r="Q41" s="455">
        <f t="shared" si="8"/>
        <v>0</v>
      </c>
      <c r="R41" s="493">
        <f>COUNTIF('续 '!AR$8:AR$198,$B$40&amp;$B41)</f>
        <v>4</v>
      </c>
      <c r="S41" s="493">
        <f>SUMIF('续 '!$AR$8:$AR$198,$B$40&amp;$B41,'续 '!$F$8:$F$198)</f>
        <v>1207858</v>
      </c>
      <c r="T41" s="509">
        <f>SUMIF('续 '!$AR$8:$AR$198,$B$40&amp;$B41,'续 '!$G$8:$G$198)</f>
        <v>28000</v>
      </c>
      <c r="U41" s="493">
        <f>SUMIF('续 '!$AR$8:$AR$198,$B$40&amp;$B41,'续 '!$L$8:$L$198)</f>
        <v>53000</v>
      </c>
      <c r="V41" s="493"/>
      <c r="W41" s="493">
        <f>SUMIF('续 '!$AR$8:$AR$198,$B$40&amp;$B41,'续 '!$O$8:$O$198)</f>
        <v>0</v>
      </c>
      <c r="X41" s="397">
        <f t="shared" si="10"/>
        <v>0</v>
      </c>
      <c r="Y41" s="493">
        <f>SUMIF('续 '!$AR$8:$AR$198,$B$40&amp;$B41,'续 '!$BJ$8:$BJ$198)</f>
        <v>0</v>
      </c>
      <c r="Z41" s="516">
        <f>COUNTIF(竣!AS$8:AS$130,$B$40&amp;$B41)</f>
        <v>1</v>
      </c>
      <c r="AA41" s="493">
        <f>SUMIF(竣!AS$8:AS$130,$B$40&amp;$B41,竣!F$8:F$130)</f>
        <v>5030</v>
      </c>
      <c r="AB41" s="509">
        <f>SUMIF(竣!AS$8:AS$130,$B$40&amp;$B41,竣!G$8:G$130)</f>
        <v>3000</v>
      </c>
      <c r="AC41" s="493">
        <f>SUMIF(竣!AS$8:AS$130,$B$40&amp;$B41,竣!L$8:L$130)</f>
        <v>1030</v>
      </c>
      <c r="AE41" s="493">
        <f>SUMIF(竣!$AS$8:$AS$130,$B$40&amp;$B41,竣!O$8:O$130)</f>
        <v>0</v>
      </c>
      <c r="AF41" s="397">
        <f t="shared" si="11"/>
        <v>0</v>
      </c>
      <c r="AG41" s="493">
        <f>SUMIF(竣!AS$8:AS$130,$B$40&amp;$B41,竣!BK$8:BK$130)</f>
        <v>0</v>
      </c>
      <c r="AH41" s="455">
        <f t="shared" si="12"/>
        <v>0</v>
      </c>
    </row>
    <row r="42" s="469" customFormat="1" ht="35.1" hidden="1" customHeight="1" spans="1:34">
      <c r="A42" s="491"/>
      <c r="B42" s="495" t="s">
        <v>2068</v>
      </c>
      <c r="C42" s="496">
        <f t="shared" si="38"/>
        <v>2</v>
      </c>
      <c r="D42" s="496">
        <f t="shared" si="38"/>
        <v>215042</v>
      </c>
      <c r="E42" s="496">
        <f t="shared" si="14"/>
        <v>73012</v>
      </c>
      <c r="F42" s="496">
        <f t="shared" si="39"/>
        <v>12000</v>
      </c>
      <c r="G42" s="496"/>
      <c r="H42" s="497">
        <f t="shared" si="40"/>
        <v>0</v>
      </c>
      <c r="I42" s="504">
        <f t="shared" si="5"/>
        <v>0</v>
      </c>
      <c r="J42" s="493">
        <f>COUNTIF(开!AZ$8:AZ$213,$B$40&amp;$B42)</f>
        <v>1</v>
      </c>
      <c r="K42" s="493">
        <f>SUMIF(开!$AZ$8:$AZ$213,$B$40&amp;$B42,开!$F$8:$F$213)</f>
        <v>61753</v>
      </c>
      <c r="L42" s="509">
        <f>SUMIF(开!$AZ$8:$AZ$213,$B$40&amp;$B42,开!$L$8:$L$213)</f>
        <v>10000</v>
      </c>
      <c r="M42" s="509"/>
      <c r="N42" s="509">
        <f>SUMIF(开!$AZ$8:$AZ$213,$B$40&amp;$B42,开!$P$8:$P$213)</f>
        <v>0</v>
      </c>
      <c r="O42" s="397">
        <f t="shared" si="7"/>
        <v>0</v>
      </c>
      <c r="P42" s="509">
        <f>SUMIF(开!$AZ$8:$AZ$213,$B$40&amp;$B42,开!$BO$8:$BO$213)</f>
        <v>0</v>
      </c>
      <c r="Q42" s="455">
        <f t="shared" si="8"/>
        <v>0</v>
      </c>
      <c r="R42" s="493">
        <f>COUNTIF('续 '!AR$8:AR$198,$B$40&amp;$B42)</f>
        <v>1</v>
      </c>
      <c r="S42" s="493">
        <f>SUMIF('续 '!$AR$8:$AR$198,$B$40&amp;$B42,'续 '!$F$8:$F$198)</f>
        <v>153289</v>
      </c>
      <c r="T42" s="509">
        <f>SUMIF('续 '!$AR$8:$AR$198,$B$40&amp;$B42,'续 '!$G$8:$G$198)</f>
        <v>73012</v>
      </c>
      <c r="U42" s="493">
        <f>SUMIF('续 '!$AR$8:$AR$198,$B$40&amp;$B42,'续 '!$L$8:$L$198)</f>
        <v>2000</v>
      </c>
      <c r="V42" s="493"/>
      <c r="W42" s="493">
        <f>SUMIF('续 '!$AR$8:$AR$198,$B$40&amp;$B42,'续 '!$O$8:$O$198)</f>
        <v>0</v>
      </c>
      <c r="X42" s="397">
        <f t="shared" si="10"/>
        <v>0</v>
      </c>
      <c r="Y42" s="493">
        <f>SUMIF('续 '!$AR$8:$AR$198,$B$40&amp;$B42,'续 '!$BJ$8:$BJ$198)</f>
        <v>0</v>
      </c>
      <c r="Z42" s="516">
        <f>COUNTIF(竣!AS$8:AS$130,$B$40&amp;$B42)</f>
        <v>0</v>
      </c>
      <c r="AA42" s="493">
        <f>SUMIF(竣!AS$8:AS$130,$B$40&amp;$B42,竣!F$8:F$130)</f>
        <v>0</v>
      </c>
      <c r="AB42" s="509">
        <f>SUMIF(竣!AS$8:AS$130,$B$40&amp;$B42,竣!G$8:G$130)</f>
        <v>0</v>
      </c>
      <c r="AC42" s="493">
        <f>SUMIF(竣!AS$8:AS$130,$B$40&amp;$B42,竣!L$8:L$130)</f>
        <v>0</v>
      </c>
      <c r="AE42" s="493">
        <f>SUMIF(竣!$AS$8:$AS$130,$B$40&amp;$B42,竣!O$8:O$130)</f>
        <v>0</v>
      </c>
      <c r="AF42" s="397" t="e">
        <f t="shared" si="11"/>
        <v>#DIV/0!</v>
      </c>
      <c r="AG42" s="493">
        <f>SUMIF(竣!AS$8:AS$130,$B$40&amp;$B42,竣!BK$8:BK$130)</f>
        <v>0</v>
      </c>
      <c r="AH42" s="455" t="e">
        <f t="shared" si="12"/>
        <v>#DIV/0!</v>
      </c>
    </row>
    <row r="43" s="469" customFormat="1" ht="35.1" hidden="1" customHeight="1" spans="1:34">
      <c r="A43" s="491"/>
      <c r="B43" s="495" t="s">
        <v>2020</v>
      </c>
      <c r="C43" s="496">
        <f t="shared" si="38"/>
        <v>32</v>
      </c>
      <c r="D43" s="496">
        <f t="shared" si="38"/>
        <v>845844</v>
      </c>
      <c r="E43" s="496">
        <f t="shared" si="14"/>
        <v>259150</v>
      </c>
      <c r="F43" s="496">
        <f t="shared" si="39"/>
        <v>129464</v>
      </c>
      <c r="G43" s="496"/>
      <c r="H43" s="497">
        <f t="shared" si="40"/>
        <v>0</v>
      </c>
      <c r="I43" s="504">
        <f t="shared" si="5"/>
        <v>0</v>
      </c>
      <c r="J43" s="493">
        <f>COUNTIF(开!AZ$8:AZ$213,$B$40&amp;$B43)</f>
        <v>12</v>
      </c>
      <c r="K43" s="493">
        <f>SUMIF(开!$AZ$8:$AZ$213,$B$40&amp;$B43,开!$F$8:$F$213)</f>
        <v>250995</v>
      </c>
      <c r="L43" s="509">
        <f>SUMIF(开!$AZ$8:$AZ$213,$B$40&amp;$B43,开!$L$8:$L$213)</f>
        <v>41123</v>
      </c>
      <c r="M43" s="509"/>
      <c r="N43" s="509">
        <f>SUMIF(开!$AZ$8:$AZ$213,$B$40&amp;$B43,开!$P$8:$P$213)</f>
        <v>0</v>
      </c>
      <c r="O43" s="397">
        <f t="shared" si="7"/>
        <v>0</v>
      </c>
      <c r="P43" s="509">
        <f>SUMIF(开!$AZ$8:$AZ$213,$B$40&amp;$B43,开!$BO$8:$BO$213)</f>
        <v>0</v>
      </c>
      <c r="Q43" s="455">
        <f t="shared" si="8"/>
        <v>0</v>
      </c>
      <c r="R43" s="493">
        <f>COUNTIF('续 '!AR$8:AR$198,$B$40&amp;$B43)</f>
        <v>11</v>
      </c>
      <c r="S43" s="493">
        <f>SUMIF('续 '!$AR$8:$AR$198,$B$40&amp;$B43,'续 '!$F$8:$F$198)</f>
        <v>326141</v>
      </c>
      <c r="T43" s="509">
        <f>SUMIF('续 '!$AR$8:$AR$198,$B$40&amp;$B43,'续 '!$G$8:$G$198)</f>
        <v>39509</v>
      </c>
      <c r="U43" s="493">
        <f>SUMIF('续 '!$AR$8:$AR$198,$B$40&amp;$B43,'续 '!$L$8:$L$198)</f>
        <v>42300</v>
      </c>
      <c r="V43" s="493"/>
      <c r="W43" s="493">
        <f>SUMIF('续 '!$AR$8:$AR$198,$B$40&amp;$B43,'续 '!$O$8:$O$198)</f>
        <v>0</v>
      </c>
      <c r="X43" s="397">
        <f t="shared" si="10"/>
        <v>0</v>
      </c>
      <c r="Y43" s="493">
        <f>SUMIF('续 '!$AR$8:$AR$198,$B$40&amp;$B43,'续 '!$BJ$8:$BJ$198)</f>
        <v>0</v>
      </c>
      <c r="Z43" s="516">
        <f>COUNTIF(竣!AS$8:AS$130,$B$40&amp;$B43)</f>
        <v>9</v>
      </c>
      <c r="AA43" s="493">
        <f>SUMIF(竣!AS$8:AS$130,$B$40&amp;$B43,竣!F$8:F$130)</f>
        <v>268708</v>
      </c>
      <c r="AB43" s="509">
        <f>SUMIF(竣!AS$8:AS$130,$B$40&amp;$B43,竣!G$8:G$130)</f>
        <v>219641</v>
      </c>
      <c r="AC43" s="493">
        <f>SUMIF(竣!AS$8:AS$130,$B$40&amp;$B43,竣!L$8:L$130)</f>
        <v>46041</v>
      </c>
      <c r="AE43" s="493">
        <f>SUMIF(竣!$AS$8:$AS$130,$B$40&amp;$B43,竣!O$8:O$130)</f>
        <v>0</v>
      </c>
      <c r="AF43" s="397">
        <f t="shared" si="11"/>
        <v>0</v>
      </c>
      <c r="AG43" s="493">
        <f>SUMIF(竣!AS$8:AS$130,$B$40&amp;$B43,竣!BK$8:BK$130)</f>
        <v>0</v>
      </c>
      <c r="AH43" s="455">
        <f t="shared" si="12"/>
        <v>0</v>
      </c>
    </row>
    <row r="44" s="469" customFormat="1" ht="35.1" hidden="1" customHeight="1" spans="1:34">
      <c r="A44" s="491"/>
      <c r="B44" s="495" t="s">
        <v>2039</v>
      </c>
      <c r="C44" s="496">
        <f t="shared" si="38"/>
        <v>3</v>
      </c>
      <c r="D44" s="496">
        <f t="shared" si="38"/>
        <v>36900</v>
      </c>
      <c r="E44" s="496">
        <f t="shared" si="14"/>
        <v>10800</v>
      </c>
      <c r="F44" s="496">
        <f t="shared" si="39"/>
        <v>6000</v>
      </c>
      <c r="G44" s="496"/>
      <c r="H44" s="497">
        <f t="shared" si="40"/>
        <v>0</v>
      </c>
      <c r="I44" s="504">
        <f t="shared" si="5"/>
        <v>0</v>
      </c>
      <c r="J44" s="493">
        <f>COUNTIF(开!AZ$8:AZ$213,$B$40&amp;$B44)</f>
        <v>1</v>
      </c>
      <c r="K44" s="493">
        <f>SUMIF(开!$AZ$8:$AZ$213,$B$40&amp;$B44,开!$F$8:$F$213)</f>
        <v>10600</v>
      </c>
      <c r="L44" s="509">
        <f>SUMIF(开!$AZ$8:$AZ$213,$B$40&amp;$B44,开!$L$8:$L$213)</f>
        <v>4000</v>
      </c>
      <c r="M44" s="509"/>
      <c r="N44" s="509">
        <f>SUMIF(开!$AZ$8:$AZ$213,$B$40&amp;$B44,开!$P$8:$P$213)</f>
        <v>0</v>
      </c>
      <c r="O44" s="397">
        <f t="shared" si="7"/>
        <v>0</v>
      </c>
      <c r="P44" s="509">
        <f>SUMIF(开!$AZ$8:$AZ$213,$B$40&amp;$B44,开!$BO$8:$BO$213)</f>
        <v>0</v>
      </c>
      <c r="Q44" s="455">
        <f t="shared" si="8"/>
        <v>0</v>
      </c>
      <c r="R44" s="493">
        <f>COUNTIF('续 '!AR$8:AR$198,$B$40&amp;$B44)</f>
        <v>1</v>
      </c>
      <c r="S44" s="493">
        <f>SUMIF('续 '!$AR$8:$AR$198,$B$40&amp;$B44,'续 '!$F$8:$F$198)</f>
        <v>20000</v>
      </c>
      <c r="T44" s="509">
        <f>SUMIF('续 '!$AR$8:$AR$198,$B$40&amp;$B44,'续 '!$G$8:$G$198)</f>
        <v>5000</v>
      </c>
      <c r="U44" s="493">
        <f>SUMIF('续 '!$AR$8:$AR$198,$B$40&amp;$B44,'续 '!$L$8:$L$198)</f>
        <v>1500</v>
      </c>
      <c r="V44" s="493"/>
      <c r="W44" s="493">
        <f>SUMIF('续 '!$AR$8:$AR$198,$B$40&amp;$B44,'续 '!$O$8:$O$198)</f>
        <v>0</v>
      </c>
      <c r="X44" s="397">
        <f t="shared" si="10"/>
        <v>0</v>
      </c>
      <c r="Y44" s="493">
        <f>SUMIF('续 '!$AR$8:$AR$198,$B$40&amp;$B44,'续 '!$BJ$8:$BJ$198)</f>
        <v>0</v>
      </c>
      <c r="Z44" s="516">
        <f>COUNTIF(竣!AS$8:AS$130,$B$40&amp;$B44)</f>
        <v>1</v>
      </c>
      <c r="AA44" s="493">
        <f>SUMIF(竣!AS$8:AS$130,$B$40&amp;$B44,竣!F$8:F$130)</f>
        <v>6300</v>
      </c>
      <c r="AB44" s="509">
        <f>SUMIF(竣!AS$8:AS$130,$B$40&amp;$B44,竣!G$8:G$130)</f>
        <v>5800</v>
      </c>
      <c r="AC44" s="493">
        <f>SUMIF(竣!AS$8:AS$130,$B$40&amp;$B44,竣!L$8:L$130)</f>
        <v>500</v>
      </c>
      <c r="AE44" s="493">
        <f>SUMIF(竣!$AS$8:$AS$130,$B$40&amp;$B44,竣!O$8:O$130)</f>
        <v>0</v>
      </c>
      <c r="AF44" s="397">
        <f t="shared" si="11"/>
        <v>0</v>
      </c>
      <c r="AG44" s="493">
        <f>SUMIF(竣!AS$8:AS$130,$B$40&amp;$B44,竣!BK$8:BK$130)</f>
        <v>0</v>
      </c>
      <c r="AH44" s="455">
        <f t="shared" si="12"/>
        <v>0</v>
      </c>
    </row>
    <row r="45" s="469" customFormat="1" ht="35.1" hidden="1" customHeight="1" spans="1:34">
      <c r="A45" s="491"/>
      <c r="B45" s="495" t="s">
        <v>2042</v>
      </c>
      <c r="C45" s="496">
        <f t="shared" si="38"/>
        <v>4</v>
      </c>
      <c r="D45" s="496">
        <f t="shared" si="38"/>
        <v>23353</v>
      </c>
      <c r="E45" s="496">
        <f t="shared" si="14"/>
        <v>9058</v>
      </c>
      <c r="F45" s="496">
        <f t="shared" si="39"/>
        <v>5249</v>
      </c>
      <c r="G45" s="496"/>
      <c r="H45" s="497">
        <f t="shared" si="40"/>
        <v>0</v>
      </c>
      <c r="I45" s="504">
        <f t="shared" si="5"/>
        <v>0</v>
      </c>
      <c r="J45" s="493">
        <f>COUNTIF(开!AZ$8:AZ$213,$B$40&amp;$B45)</f>
        <v>1</v>
      </c>
      <c r="K45" s="493">
        <f>SUMIF(开!$AZ$8:$AZ$213,$B$40&amp;$B45,开!$F$8:$F$213)</f>
        <v>5600</v>
      </c>
      <c r="L45" s="509">
        <f>SUMIF(开!$AZ$8:$AZ$213,$B$40&amp;$B45,开!$L$8:$L$213)</f>
        <v>1000</v>
      </c>
      <c r="M45" s="509"/>
      <c r="N45" s="509">
        <f>SUMIF(开!$AZ$8:$AZ$213,$B$40&amp;$B45,开!$P$8:$P$213)</f>
        <v>0</v>
      </c>
      <c r="O45" s="397">
        <f t="shared" si="7"/>
        <v>0</v>
      </c>
      <c r="P45" s="509">
        <f>SUMIF(开!$AZ$8:$AZ$213,$B$40&amp;$B45,开!$BO$8:$BO$213)</f>
        <v>0</v>
      </c>
      <c r="Q45" s="455">
        <f t="shared" si="8"/>
        <v>0</v>
      </c>
      <c r="R45" s="493">
        <f>COUNTIF('续 '!AR$8:AR$198,$B$40&amp;$B45)</f>
        <v>2</v>
      </c>
      <c r="S45" s="493">
        <f>SUMIF('续 '!$AR$8:$AR$198,$B$40&amp;$B45,'续 '!$F$8:$F$198)</f>
        <v>10156</v>
      </c>
      <c r="T45" s="509">
        <f>SUMIF('续 '!$AR$8:$AR$198,$B$40&amp;$B45,'续 '!$G$8:$G$198)</f>
        <v>2910</v>
      </c>
      <c r="U45" s="493">
        <f>SUMIF('续 '!$AR$8:$AR$198,$B$40&amp;$B45,'续 '!$L$8:$L$198)</f>
        <v>2800</v>
      </c>
      <c r="V45" s="493"/>
      <c r="W45" s="493">
        <f>SUMIF('续 '!$AR$8:$AR$198,$B$40&amp;$B45,'续 '!$O$8:$O$198)</f>
        <v>0</v>
      </c>
      <c r="X45" s="397">
        <f t="shared" si="10"/>
        <v>0</v>
      </c>
      <c r="Y45" s="493">
        <f>SUMIF('续 '!$AR$8:$AR$198,$B$40&amp;$B45,'续 '!$BJ$8:$BJ$198)</f>
        <v>0</v>
      </c>
      <c r="Z45" s="516">
        <f>COUNTIF(竣!AS$8:AS$130,$B$40&amp;$B45)</f>
        <v>1</v>
      </c>
      <c r="AA45" s="493">
        <f>SUMIF(竣!AS$8:AS$130,$B$40&amp;$B45,竣!F$8:F$130)</f>
        <v>7597</v>
      </c>
      <c r="AB45" s="509">
        <f>SUMIF(竣!AS$8:AS$130,$B$40&amp;$B45,竣!G$8:G$130)</f>
        <v>6148</v>
      </c>
      <c r="AC45" s="493">
        <f>SUMIF(竣!AS$8:AS$130,$B$40&amp;$B45,竣!L$8:L$130)</f>
        <v>1449</v>
      </c>
      <c r="AE45" s="493">
        <f>SUMIF(竣!$AS$8:$AS$130,$B$40&amp;$B45,竣!O$8:O$130)</f>
        <v>0</v>
      </c>
      <c r="AF45" s="397">
        <f t="shared" si="11"/>
        <v>0</v>
      </c>
      <c r="AG45" s="493">
        <f>SUMIF(竣!AS$8:AS$130,$B$40&amp;$B45,竣!BK$8:BK$130)</f>
        <v>0</v>
      </c>
      <c r="AH45" s="455">
        <f t="shared" si="12"/>
        <v>0</v>
      </c>
    </row>
    <row r="46" s="469" customFormat="1" ht="35.1" hidden="1" customHeight="1" spans="1:34">
      <c r="A46" s="491"/>
      <c r="B46" s="495" t="s">
        <v>2051</v>
      </c>
      <c r="C46" s="496">
        <f t="shared" si="38"/>
        <v>22</v>
      </c>
      <c r="D46" s="496">
        <f t="shared" si="38"/>
        <v>1456825.086</v>
      </c>
      <c r="E46" s="496">
        <f t="shared" si="14"/>
        <v>198758</v>
      </c>
      <c r="F46" s="496">
        <f t="shared" si="39"/>
        <v>165363.086</v>
      </c>
      <c r="G46" s="496"/>
      <c r="H46" s="497">
        <f t="shared" si="40"/>
        <v>0</v>
      </c>
      <c r="I46" s="504">
        <f t="shared" si="5"/>
        <v>0</v>
      </c>
      <c r="J46" s="493">
        <f>COUNTIF(开!AZ$8:AZ$213,$B$40&amp;$B46)</f>
        <v>8</v>
      </c>
      <c r="K46" s="493">
        <f>SUMIF(开!$AZ$8:$AZ$213,$B$40&amp;$B46,开!$F$8:$F$213)</f>
        <v>127553</v>
      </c>
      <c r="L46" s="509">
        <f>SUMIF(开!$AZ$8:$AZ$213,$B$40&amp;$B46,开!$L$8:$L$213)</f>
        <v>29327</v>
      </c>
      <c r="M46" s="509"/>
      <c r="N46" s="509">
        <f>SUMIF(开!$AZ$8:$AZ$213,$B$40&amp;$B46,开!$P$8:$P$213)</f>
        <v>0</v>
      </c>
      <c r="O46" s="397">
        <f t="shared" si="7"/>
        <v>0</v>
      </c>
      <c r="P46" s="509">
        <f>SUMIF(开!$AZ$8:$AZ$213,$B$40&amp;$B46,开!$BO$8:$BO$213)</f>
        <v>0</v>
      </c>
      <c r="Q46" s="455">
        <f t="shared" si="8"/>
        <v>0</v>
      </c>
      <c r="R46" s="493">
        <f>COUNTIF('续 '!AR$8:AR$198,$B$40&amp;$B46)</f>
        <v>11</v>
      </c>
      <c r="S46" s="493">
        <f>SUMIF('续 '!$AR$8:$AR$198,$B$40&amp;$B46,'续 '!$F$8:$F$198)</f>
        <v>1269226</v>
      </c>
      <c r="T46" s="509">
        <f>SUMIF('续 '!$AR$8:$AR$198,$B$40&amp;$B46,'续 '!$G$8:$G$198)</f>
        <v>157748</v>
      </c>
      <c r="U46" s="493">
        <f>SUMIF('续 '!$AR$8:$AR$198,$B$40&amp;$B46,'续 '!$L$8:$L$198)</f>
        <v>117000</v>
      </c>
      <c r="V46" s="493"/>
      <c r="W46" s="493">
        <f>SUMIF('续 '!$AR$8:$AR$198,$B$40&amp;$B46,'续 '!$O$8:$O$198)</f>
        <v>0</v>
      </c>
      <c r="X46" s="397">
        <f t="shared" si="10"/>
        <v>0</v>
      </c>
      <c r="Y46" s="493">
        <f>SUMIF('续 '!$AR$8:$AR$198,$B$40&amp;$B46,'续 '!$BJ$8:$BJ$198)</f>
        <v>0</v>
      </c>
      <c r="Z46" s="516">
        <f>COUNTIF(竣!AS$8:AS$130,$B$40&amp;$B46)</f>
        <v>3</v>
      </c>
      <c r="AA46" s="493">
        <f>SUMIF(竣!AS$8:AS$130,$B$40&amp;$B46,竣!F$8:F$130)</f>
        <v>60046.086</v>
      </c>
      <c r="AB46" s="509">
        <f>SUMIF(竣!AS$8:AS$130,$B$40&amp;$B46,竣!G$8:G$130)</f>
        <v>41010</v>
      </c>
      <c r="AC46" s="493">
        <f>SUMIF(竣!AS$8:AS$130,$B$40&amp;$B46,竣!L$8:L$130)</f>
        <v>19036.086</v>
      </c>
      <c r="AE46" s="493">
        <f>SUMIF(竣!$AS$8:$AS$130,$B$40&amp;$B46,竣!O$8:O$130)</f>
        <v>0</v>
      </c>
      <c r="AF46" s="397">
        <f t="shared" si="11"/>
        <v>0</v>
      </c>
      <c r="AG46" s="493">
        <f>SUMIF(竣!AS$8:AS$130,$B$40&amp;$B46,竣!BK$8:BK$130)</f>
        <v>0</v>
      </c>
      <c r="AH46" s="455">
        <f t="shared" si="12"/>
        <v>0</v>
      </c>
    </row>
    <row r="47" s="469" customFormat="1" ht="31.9" customHeight="1" spans="1:34">
      <c r="A47" s="491" t="s">
        <v>2099</v>
      </c>
      <c r="B47" s="492" t="s">
        <v>2105</v>
      </c>
      <c r="C47" s="493">
        <f t="shared" ref="C47:F47" si="41">SUM(C48:C51)</f>
        <v>16</v>
      </c>
      <c r="D47" s="493">
        <f t="shared" si="41"/>
        <v>390978.02</v>
      </c>
      <c r="E47" s="493">
        <f t="shared" si="41"/>
        <v>86419</v>
      </c>
      <c r="F47" s="493">
        <f t="shared" si="41"/>
        <v>59602</v>
      </c>
      <c r="G47" s="494">
        <f>F47/$F$7</f>
        <v>0.0179450916842169</v>
      </c>
      <c r="H47" s="498">
        <f t="shared" ref="H47:L47" si="42">SUM(H48:H51)</f>
        <v>0</v>
      </c>
      <c r="I47" s="504">
        <f t="shared" si="5"/>
        <v>0</v>
      </c>
      <c r="J47" s="493">
        <f t="shared" si="42"/>
        <v>2</v>
      </c>
      <c r="K47" s="493">
        <f t="shared" si="42"/>
        <v>8705</v>
      </c>
      <c r="L47" s="493">
        <f t="shared" si="42"/>
        <v>2600</v>
      </c>
      <c r="M47" s="397">
        <f>L47/F47</f>
        <v>0.0436226972249253</v>
      </c>
      <c r="N47" s="508">
        <f t="shared" ref="N47:U47" si="43">SUM(N48:N51)</f>
        <v>0</v>
      </c>
      <c r="O47" s="397">
        <f t="shared" si="7"/>
        <v>0</v>
      </c>
      <c r="P47" s="493">
        <f t="shared" si="43"/>
        <v>0</v>
      </c>
      <c r="Q47" s="455">
        <f t="shared" si="8"/>
        <v>0</v>
      </c>
      <c r="R47" s="493">
        <f t="shared" si="43"/>
        <v>9</v>
      </c>
      <c r="S47" s="493">
        <f t="shared" si="43"/>
        <v>360618</v>
      </c>
      <c r="T47" s="493">
        <f t="shared" si="43"/>
        <v>80066</v>
      </c>
      <c r="U47" s="493">
        <f t="shared" si="43"/>
        <v>41700</v>
      </c>
      <c r="V47" s="397">
        <f>U47/F47</f>
        <v>0.699640951645918</v>
      </c>
      <c r="W47" s="508">
        <f t="shared" ref="W47:AC47" si="44">SUM(W48:W51)</f>
        <v>0</v>
      </c>
      <c r="X47" s="397">
        <f t="shared" si="10"/>
        <v>0</v>
      </c>
      <c r="Y47" s="493">
        <f t="shared" si="44"/>
        <v>0</v>
      </c>
      <c r="Z47" s="516">
        <f t="shared" si="44"/>
        <v>5</v>
      </c>
      <c r="AA47" s="493">
        <f t="shared" si="44"/>
        <v>21655.02</v>
      </c>
      <c r="AB47" s="493">
        <f t="shared" si="44"/>
        <v>6353</v>
      </c>
      <c r="AC47" s="493">
        <f t="shared" si="44"/>
        <v>15302</v>
      </c>
      <c r="AD47" s="397">
        <f>AC47/F47</f>
        <v>0.256736351129157</v>
      </c>
      <c r="AE47" s="508">
        <f>SUM(AE48:AE51)</f>
        <v>0</v>
      </c>
      <c r="AF47" s="397">
        <f t="shared" si="11"/>
        <v>0</v>
      </c>
      <c r="AG47" s="493">
        <f>SUM(AG48:AG51)</f>
        <v>0</v>
      </c>
      <c r="AH47" s="455">
        <f t="shared" si="12"/>
        <v>0</v>
      </c>
    </row>
    <row r="48" s="469" customFormat="1" ht="35.1" hidden="1" customHeight="1" spans="1:34">
      <c r="A48" s="491"/>
      <c r="B48" s="495" t="s">
        <v>722</v>
      </c>
      <c r="C48" s="496">
        <f t="shared" ref="C48:D51" si="45">J48+R48+Z48</f>
        <v>5</v>
      </c>
      <c r="D48" s="496">
        <f t="shared" si="45"/>
        <v>171755</v>
      </c>
      <c r="E48" s="496">
        <f t="shared" si="14"/>
        <v>43046</v>
      </c>
      <c r="F48" s="496">
        <f t="shared" ref="F48:F51" si="46">L48+U48+AC48</f>
        <v>11815</v>
      </c>
      <c r="G48" s="496"/>
      <c r="H48" s="497">
        <f t="shared" ref="H48:H51" si="47">N48+W48+AE48</f>
        <v>0</v>
      </c>
      <c r="I48" s="504">
        <f t="shared" si="5"/>
        <v>0</v>
      </c>
      <c r="J48" s="493">
        <f>COUNTIF(开!AZ$8:AZ$213,$B$47&amp;$B48)</f>
        <v>0</v>
      </c>
      <c r="K48" s="493">
        <f>SUMIF(开!$AZ$8:$AZ$213,$B$47&amp;$B48,开!$F$8:$F$213)</f>
        <v>0</v>
      </c>
      <c r="L48" s="509">
        <f>SUMIF(开!$AZ$8:$AZ$213,$B$47&amp;$B48,开!$L$8:$L$213)</f>
        <v>0</v>
      </c>
      <c r="M48" s="509"/>
      <c r="N48" s="509">
        <f>SUMIF(开!$AZ$8:$AZ$213,$B$47&amp;$B48,开!$P$8:$P$213)</f>
        <v>0</v>
      </c>
      <c r="O48" s="397" t="e">
        <f t="shared" si="7"/>
        <v>#DIV/0!</v>
      </c>
      <c r="P48" s="509">
        <f>SUMIF(开!$AZ$8:$AZ$213,$B$47&amp;$B48,开!$BO$8:$BO$213)</f>
        <v>0</v>
      </c>
      <c r="Q48" s="455" t="e">
        <f t="shared" si="8"/>
        <v>#DIV/0!</v>
      </c>
      <c r="R48" s="493">
        <f>COUNTIF('续 '!AR$8:AR$198,$B$47&amp;$B48)</f>
        <v>3</v>
      </c>
      <c r="S48" s="493">
        <f>SUMIF('续 '!$AR$8:$AR$198,$B$47&amp;$B48,'续 '!$F$8:$F$198)</f>
        <v>167380</v>
      </c>
      <c r="T48" s="509">
        <f>SUMIF('续 '!$AR$8:$AR$198,$B$47&amp;$B48,'续 '!$G$8:$G$198)</f>
        <v>41486</v>
      </c>
      <c r="U48" s="493">
        <f>SUMIF('续 '!$AR$8:$AR$198,$B$47&amp;$B48,'续 '!$L$8:$L$198)</f>
        <v>9000</v>
      </c>
      <c r="V48" s="493"/>
      <c r="W48" s="493">
        <f>SUMIF('续 '!$AR$8:$AR$198,$B$47&amp;$B48,'续 '!$O$8:$O$198)</f>
        <v>0</v>
      </c>
      <c r="X48" s="397">
        <f t="shared" si="10"/>
        <v>0</v>
      </c>
      <c r="Y48" s="493">
        <f>SUMIF('续 '!$AR$8:$AR$198,$B$47&amp;$B48,'续 '!$BJ$8:$BJ$198)</f>
        <v>0</v>
      </c>
      <c r="Z48" s="516">
        <f>COUNTIF(竣!AS$8:AS$130,$B$47&amp;$B48)</f>
        <v>2</v>
      </c>
      <c r="AA48" s="493">
        <f>SUMIF(竣!AS$8:AS$130,$B$47&amp;$B48,竣!F$8:F$130)</f>
        <v>4375</v>
      </c>
      <c r="AB48" s="509">
        <f>SUMIF(竣!AS$8:AS$130,$B$47&amp;$B48,竣!G$8:G$130)</f>
        <v>1560</v>
      </c>
      <c r="AC48" s="493">
        <f>SUMIF(竣!AS$8:AS$130,$B$47&amp;$B48,竣!L$8:L$130)</f>
        <v>2815</v>
      </c>
      <c r="AE48" s="493">
        <f>SUMIF(竣!$AS$8:$AS$130,$B$47&amp;$B48,竣!O$8:O$130)</f>
        <v>0</v>
      </c>
      <c r="AF48" s="397">
        <f t="shared" si="11"/>
        <v>0</v>
      </c>
      <c r="AG48" s="493">
        <f>SUMIF(竣!AS$8:AS$130,$B$47&amp;$B48,竣!BK$8:BK$130)</f>
        <v>0</v>
      </c>
      <c r="AH48" s="455">
        <f t="shared" si="12"/>
        <v>0</v>
      </c>
    </row>
    <row r="49" s="469" customFormat="1" ht="35.1" hidden="1" customHeight="1" spans="1:34">
      <c r="A49" s="491"/>
      <c r="B49" s="495" t="s">
        <v>2477</v>
      </c>
      <c r="C49" s="496">
        <f t="shared" si="45"/>
        <v>2</v>
      </c>
      <c r="D49" s="496">
        <f t="shared" si="45"/>
        <v>85000</v>
      </c>
      <c r="E49" s="496">
        <f t="shared" si="14"/>
        <v>6500</v>
      </c>
      <c r="F49" s="496">
        <f t="shared" si="46"/>
        <v>5500</v>
      </c>
      <c r="G49" s="496"/>
      <c r="H49" s="497">
        <f t="shared" si="47"/>
        <v>0</v>
      </c>
      <c r="I49" s="504">
        <f t="shared" si="5"/>
        <v>0</v>
      </c>
      <c r="J49" s="493">
        <f>COUNTIF(开!AZ$8:AZ$213,$B$47&amp;$B49)</f>
        <v>0</v>
      </c>
      <c r="K49" s="493">
        <f>SUMIF(开!$AZ$8:$AZ$213,$B$47&amp;$B49,开!$F$8:$F$213)</f>
        <v>0</v>
      </c>
      <c r="L49" s="509">
        <f>SUMIF(开!$AZ$8:$AZ$213,$B$47&amp;$B49,开!$L$8:$L$213)</f>
        <v>0</v>
      </c>
      <c r="M49" s="509"/>
      <c r="N49" s="509">
        <f>SUMIF(开!$AZ$8:$AZ$213,$B$47&amp;$B49,开!$P$8:$P$213)</f>
        <v>0</v>
      </c>
      <c r="O49" s="397" t="e">
        <f t="shared" si="7"/>
        <v>#DIV/0!</v>
      </c>
      <c r="P49" s="509">
        <f>SUMIF(开!$AZ$8:$AZ$213,$B$47&amp;$B49,开!$BO$8:$BO$213)</f>
        <v>0</v>
      </c>
      <c r="Q49" s="455" t="e">
        <f t="shared" si="8"/>
        <v>#DIV/0!</v>
      </c>
      <c r="R49" s="493">
        <f>COUNTIF('续 '!AR$8:AR$198,$B$47&amp;$B49)</f>
        <v>2</v>
      </c>
      <c r="S49" s="493">
        <f>SUMIF('续 '!$AR$8:$AR$198,$B$47&amp;$B49,'续 '!$F$8:$F$198)</f>
        <v>85000</v>
      </c>
      <c r="T49" s="509">
        <f>SUMIF('续 '!$AR$8:$AR$198,$B$47&amp;$B49,'续 '!$G$8:$G$198)</f>
        <v>6500</v>
      </c>
      <c r="U49" s="493">
        <f>SUMIF('续 '!$AR$8:$AR$198,$B$47&amp;$B49,'续 '!$L$8:$L$198)</f>
        <v>5500</v>
      </c>
      <c r="V49" s="493"/>
      <c r="W49" s="493">
        <f>SUMIF('续 '!$AR$8:$AR$198,$B$47&amp;$B49,'续 '!$O$8:$O$198)</f>
        <v>0</v>
      </c>
      <c r="X49" s="397">
        <f t="shared" si="10"/>
        <v>0</v>
      </c>
      <c r="Y49" s="493">
        <f>SUMIF('续 '!$AR$8:$AR$198,$B$47&amp;$B49,'续 '!$BJ$8:$BJ$198)</f>
        <v>0</v>
      </c>
      <c r="Z49" s="516">
        <f>COUNTIF(竣!AS$8:AS$130,$B$47&amp;$B49)</f>
        <v>0</v>
      </c>
      <c r="AA49" s="493">
        <f>SUMIF(竣!AS$8:AS$130,$B$47&amp;$B49,竣!F$8:F$130)</f>
        <v>0</v>
      </c>
      <c r="AB49" s="509">
        <f>SUMIF(竣!AS$8:AS$130,$B$47&amp;$B49,竣!G$8:G$130)</f>
        <v>0</v>
      </c>
      <c r="AC49" s="493">
        <f>SUMIF(竣!AS$8:AS$130,$B$47&amp;$B49,竣!L$8:L$130)</f>
        <v>0</v>
      </c>
      <c r="AE49" s="493">
        <f>SUMIF(竣!$AS$8:$AS$130,$B$47&amp;$B49,竣!O$8:O$130)</f>
        <v>0</v>
      </c>
      <c r="AF49" s="397" t="e">
        <f t="shared" si="11"/>
        <v>#DIV/0!</v>
      </c>
      <c r="AG49" s="493">
        <f>SUMIF(竣!AS$8:AS$130,$B$47&amp;$B49,竣!BK$8:BK$130)</f>
        <v>0</v>
      </c>
      <c r="AH49" s="455" t="e">
        <f t="shared" si="12"/>
        <v>#DIV/0!</v>
      </c>
    </row>
    <row r="50" s="469" customFormat="1" ht="35.1" hidden="1" customHeight="1" spans="1:34">
      <c r="A50" s="491"/>
      <c r="B50" s="495" t="s">
        <v>2743</v>
      </c>
      <c r="C50" s="496">
        <f t="shared" si="45"/>
        <v>0</v>
      </c>
      <c r="D50" s="496">
        <f t="shared" si="45"/>
        <v>0</v>
      </c>
      <c r="E50" s="496">
        <f t="shared" si="14"/>
        <v>0</v>
      </c>
      <c r="F50" s="496">
        <f t="shared" si="46"/>
        <v>0</v>
      </c>
      <c r="G50" s="496"/>
      <c r="H50" s="497">
        <f t="shared" si="47"/>
        <v>0</v>
      </c>
      <c r="I50" s="504" t="e">
        <f t="shared" si="5"/>
        <v>#DIV/0!</v>
      </c>
      <c r="J50" s="493">
        <f>COUNTIF(开!AZ$8:AZ$213,$B$47&amp;$B50)</f>
        <v>0</v>
      </c>
      <c r="K50" s="493">
        <f>SUMIF(开!$AZ$8:$AZ$213,$B$47&amp;$B50,开!$F$8:$F$213)</f>
        <v>0</v>
      </c>
      <c r="L50" s="509">
        <f>SUMIF(开!$AZ$8:$AZ$213,$B$47&amp;$B50,开!$L$8:$L$213)</f>
        <v>0</v>
      </c>
      <c r="M50" s="509"/>
      <c r="N50" s="509">
        <f>SUMIF(开!$AZ$8:$AZ$213,$B$47&amp;$B50,开!$P$8:$P$213)</f>
        <v>0</v>
      </c>
      <c r="O50" s="397" t="e">
        <f t="shared" si="7"/>
        <v>#DIV/0!</v>
      </c>
      <c r="P50" s="509">
        <f>SUMIF(开!$AZ$8:$AZ$213,$B$47&amp;$B50,开!$BO$8:$BO$213)</f>
        <v>0</v>
      </c>
      <c r="Q50" s="455" t="e">
        <f t="shared" si="8"/>
        <v>#DIV/0!</v>
      </c>
      <c r="R50" s="493">
        <f>COUNTIF('续 '!AR$8:AR$198,$B$47&amp;$B50)</f>
        <v>0</v>
      </c>
      <c r="S50" s="493">
        <f>SUMIF('续 '!$AR$8:$AR$198,$B$47&amp;$B50,'续 '!$F$8:$F$198)</f>
        <v>0</v>
      </c>
      <c r="T50" s="509">
        <f>SUMIF('续 '!$AR$8:$AR$198,$B$47&amp;$B50,'续 '!$G$8:$G$198)</f>
        <v>0</v>
      </c>
      <c r="U50" s="493">
        <f>SUMIF('续 '!$AR$8:$AR$198,$B$47&amp;$B50,'续 '!$L$8:$L$198)</f>
        <v>0</v>
      </c>
      <c r="V50" s="493"/>
      <c r="W50" s="493">
        <f>SUMIF('续 '!$AR$8:$AR$198,$B$47&amp;$B50,'续 '!$O$8:$O$198)</f>
        <v>0</v>
      </c>
      <c r="X50" s="397" t="e">
        <f t="shared" si="10"/>
        <v>#DIV/0!</v>
      </c>
      <c r="Y50" s="493">
        <f>SUMIF('续 '!$AR$8:$AR$198,$B$47&amp;$B50,'续 '!$BJ$8:$BJ$198)</f>
        <v>0</v>
      </c>
      <c r="Z50" s="516">
        <f>COUNTIF(竣!AS$8:AS$130,$B$47&amp;$B50)</f>
        <v>0</v>
      </c>
      <c r="AA50" s="493">
        <f>SUMIF(竣!AS$8:AS$130,$B$47&amp;$B50,竣!F$8:F$130)</f>
        <v>0</v>
      </c>
      <c r="AB50" s="509">
        <f>SUMIF(竣!AS$8:AS$130,$B$47&amp;$B50,竣!G$8:G$130)</f>
        <v>0</v>
      </c>
      <c r="AC50" s="493">
        <f>SUMIF(竣!AS$8:AS$130,$B$47&amp;$B50,竣!L$8:L$130)</f>
        <v>0</v>
      </c>
      <c r="AE50" s="493">
        <f>SUMIF(竣!$AS$8:$AS$130,$B$47&amp;$B50,竣!O$8:O$130)</f>
        <v>0</v>
      </c>
      <c r="AF50" s="397" t="e">
        <f t="shared" si="11"/>
        <v>#DIV/0!</v>
      </c>
      <c r="AG50" s="493">
        <f>SUMIF(竣!AS$8:AS$130,$B$47&amp;$B50,竣!BK$8:BK$130)</f>
        <v>0</v>
      </c>
      <c r="AH50" s="455" t="e">
        <f t="shared" si="12"/>
        <v>#DIV/0!</v>
      </c>
    </row>
    <row r="51" s="469" customFormat="1" ht="35.1" hidden="1" customHeight="1" spans="1:34">
      <c r="A51" s="491"/>
      <c r="B51" s="495" t="s">
        <v>2104</v>
      </c>
      <c r="C51" s="496">
        <f t="shared" si="45"/>
        <v>9</v>
      </c>
      <c r="D51" s="496">
        <f t="shared" si="45"/>
        <v>134223.02</v>
      </c>
      <c r="E51" s="496">
        <f t="shared" si="14"/>
        <v>36873</v>
      </c>
      <c r="F51" s="496">
        <f t="shared" si="46"/>
        <v>42287</v>
      </c>
      <c r="G51" s="496"/>
      <c r="H51" s="497">
        <f t="shared" si="47"/>
        <v>0</v>
      </c>
      <c r="I51" s="504">
        <f t="shared" si="5"/>
        <v>0</v>
      </c>
      <c r="J51" s="493">
        <f>COUNTIF(开!AZ$8:AZ$213,$B$47&amp;$B51)</f>
        <v>2</v>
      </c>
      <c r="K51" s="493">
        <f>SUMIF(开!$AZ$8:$AZ$213,$B$47&amp;$B51,开!$F$8:$F$213)</f>
        <v>8705</v>
      </c>
      <c r="L51" s="509">
        <f>SUMIF(开!$AZ$8:$AZ$213,$B$47&amp;$B51,开!$L$8:$L$213)</f>
        <v>2600</v>
      </c>
      <c r="M51" s="509"/>
      <c r="N51" s="509">
        <f>SUMIF(开!$AZ$8:$AZ$213,$B$47&amp;$B51,开!$P$8:$P$213)</f>
        <v>0</v>
      </c>
      <c r="O51" s="397">
        <f t="shared" si="7"/>
        <v>0</v>
      </c>
      <c r="P51" s="509">
        <f>SUMIF(开!$AZ$8:$AZ$213,$B$47&amp;$B51,开!$BO$8:$BO$213)</f>
        <v>0</v>
      </c>
      <c r="Q51" s="455">
        <f t="shared" si="8"/>
        <v>0</v>
      </c>
      <c r="R51" s="493">
        <f>COUNTIF('续 '!AR$8:AR$198,$B$47&amp;$B51)</f>
        <v>4</v>
      </c>
      <c r="S51" s="493">
        <f>SUMIF('续 '!$AR$8:$AR$198,$B$47&amp;$B51,'续 '!$F$8:$F$198)</f>
        <v>108238</v>
      </c>
      <c r="T51" s="509">
        <f>SUMIF('续 '!$AR$8:$AR$198,$B$47&amp;$B51,'续 '!$G$8:$G$198)</f>
        <v>32080</v>
      </c>
      <c r="U51" s="493">
        <f>SUMIF('续 '!$AR$8:$AR$198,$B$47&amp;$B51,'续 '!$L$8:$L$198)</f>
        <v>27200</v>
      </c>
      <c r="V51" s="493"/>
      <c r="W51" s="493">
        <f>SUMIF('续 '!$AR$8:$AR$198,$B$47&amp;$B51,'续 '!$O$8:$O$198)</f>
        <v>0</v>
      </c>
      <c r="X51" s="397">
        <f t="shared" si="10"/>
        <v>0</v>
      </c>
      <c r="Y51" s="493">
        <f>SUMIF('续 '!$AR$8:$AR$198,$B$47&amp;$B51,'续 '!$BJ$8:$BJ$198)</f>
        <v>0</v>
      </c>
      <c r="Z51" s="516">
        <f>COUNTIF(竣!AS$8:AS$130,$B$47&amp;$B51)</f>
        <v>3</v>
      </c>
      <c r="AA51" s="493">
        <f>SUMIF(竣!AS$8:AS$130,$B$47&amp;$B51,竣!F$8:F$130)</f>
        <v>17280.02</v>
      </c>
      <c r="AB51" s="509">
        <f>SUMIF(竣!AS$8:AS$130,$B$47&amp;$B51,竣!G$8:G$130)</f>
        <v>4793</v>
      </c>
      <c r="AC51" s="493">
        <f>SUMIF(竣!AS$8:AS$130,$B$47&amp;$B51,竣!L$8:L$130)</f>
        <v>12487</v>
      </c>
      <c r="AE51" s="493">
        <f>SUMIF(竣!$AS$8:$AS$130,$B$47&amp;$B51,竣!O$8:O$130)</f>
        <v>0</v>
      </c>
      <c r="AF51" s="397">
        <f t="shared" si="11"/>
        <v>0</v>
      </c>
      <c r="AG51" s="493">
        <f>SUMIF(竣!AS$8:AS$130,$B$47&amp;$B51,竣!BK$8:BK$130)</f>
        <v>0</v>
      </c>
      <c r="AH51" s="455">
        <f t="shared" si="12"/>
        <v>0</v>
      </c>
    </row>
    <row r="52" s="469" customFormat="1" ht="31.9" customHeight="1" spans="1:34">
      <c r="A52" s="491" t="s">
        <v>2108</v>
      </c>
      <c r="B52" s="492" t="s">
        <v>459</v>
      </c>
      <c r="C52" s="493">
        <f t="shared" ref="C52:F52" si="48">SUM(C53:C55)</f>
        <v>41</v>
      </c>
      <c r="D52" s="493">
        <f t="shared" si="48"/>
        <v>1921377.22</v>
      </c>
      <c r="E52" s="493">
        <f t="shared" si="48"/>
        <v>151829</v>
      </c>
      <c r="F52" s="493">
        <f t="shared" si="48"/>
        <v>220921</v>
      </c>
      <c r="G52" s="494">
        <f>F52/$F$7</f>
        <v>0.0665153451221247</v>
      </c>
      <c r="H52" s="498">
        <f>SUM(H53:H55)</f>
        <v>0</v>
      </c>
      <c r="I52" s="504">
        <f t="shared" si="5"/>
        <v>0</v>
      </c>
      <c r="J52" s="493">
        <f>SUM(J53:J55)</f>
        <v>20</v>
      </c>
      <c r="K52" s="493">
        <f t="shared" ref="K52:AE52" si="49">SUM(K53:K55)</f>
        <v>1408668.22</v>
      </c>
      <c r="L52" s="493">
        <f t="shared" si="49"/>
        <v>113000</v>
      </c>
      <c r="M52" s="397">
        <f>L52/F52</f>
        <v>0.511495059319847</v>
      </c>
      <c r="N52" s="508">
        <f>SUM(N53:N55)</f>
        <v>0</v>
      </c>
      <c r="O52" s="397">
        <f t="shared" si="7"/>
        <v>0</v>
      </c>
      <c r="P52" s="493">
        <f>SUM(P53:P55)</f>
        <v>0</v>
      </c>
      <c r="Q52" s="455">
        <f t="shared" si="8"/>
        <v>0</v>
      </c>
      <c r="R52" s="493">
        <f t="shared" si="49"/>
        <v>14</v>
      </c>
      <c r="S52" s="493">
        <f t="shared" si="49"/>
        <v>442515</v>
      </c>
      <c r="T52" s="493">
        <f t="shared" si="49"/>
        <v>127856</v>
      </c>
      <c r="U52" s="493">
        <f t="shared" si="49"/>
        <v>61700</v>
      </c>
      <c r="V52" s="397">
        <f>U52/F52</f>
        <v>0.279285355398536</v>
      </c>
      <c r="W52" s="508">
        <f>SUM(W53:W55)</f>
        <v>0</v>
      </c>
      <c r="X52" s="397">
        <f t="shared" si="10"/>
        <v>0</v>
      </c>
      <c r="Y52" s="493">
        <f>SUM(Y53:Y55)</f>
        <v>0</v>
      </c>
      <c r="Z52" s="516">
        <f t="shared" si="49"/>
        <v>7</v>
      </c>
      <c r="AA52" s="493">
        <f t="shared" si="49"/>
        <v>70194</v>
      </c>
      <c r="AB52" s="493">
        <f t="shared" si="49"/>
        <v>23973</v>
      </c>
      <c r="AC52" s="493">
        <f t="shared" si="49"/>
        <v>46221</v>
      </c>
      <c r="AD52" s="397">
        <f>AC52/F52</f>
        <v>0.209219585281616</v>
      </c>
      <c r="AE52" s="508">
        <f t="shared" si="49"/>
        <v>0</v>
      </c>
      <c r="AF52" s="397">
        <f t="shared" si="11"/>
        <v>0</v>
      </c>
      <c r="AG52" s="493">
        <f>SUM(AG53:AG55)</f>
        <v>0</v>
      </c>
      <c r="AH52" s="455">
        <f t="shared" si="12"/>
        <v>0</v>
      </c>
    </row>
    <row r="53" s="469" customFormat="1" ht="35.1" hidden="1" customHeight="1" spans="1:34">
      <c r="A53" s="491"/>
      <c r="B53" s="495" t="s">
        <v>2110</v>
      </c>
      <c r="C53" s="496">
        <f t="shared" ref="C53:D55" si="50">J53+R53+Z53</f>
        <v>17</v>
      </c>
      <c r="D53" s="496">
        <f t="shared" si="50"/>
        <v>624385</v>
      </c>
      <c r="E53" s="496">
        <f t="shared" si="14"/>
        <v>41770</v>
      </c>
      <c r="F53" s="496">
        <f t="shared" ref="F53:F55" si="51">L53+U53+AC53</f>
        <v>82570</v>
      </c>
      <c r="G53" s="496"/>
      <c r="H53" s="497">
        <f t="shared" ref="H53:H55" si="52">N53+W53+AE53</f>
        <v>0</v>
      </c>
      <c r="I53" s="504">
        <f t="shared" si="5"/>
        <v>0</v>
      </c>
      <c r="J53" s="493">
        <f>COUNTIF(开!AZ$8:AZ$213,$B$52&amp;$B53)</f>
        <v>7</v>
      </c>
      <c r="K53" s="493">
        <f>SUMIF(开!$AZ$8:$AZ$213,$B$52&amp;$B53,开!$F$8:$F$213)</f>
        <v>446280</v>
      </c>
      <c r="L53" s="509">
        <f>SUMIF(开!$AZ$8:$AZ$213,$B$52&amp;$B53,开!$L$8:$L$213)</f>
        <v>31000</v>
      </c>
      <c r="M53" s="509"/>
      <c r="N53" s="509">
        <f>SUMIF(开!$AZ$8:$AZ$213,$B$52&amp;$B53,开!$P$8:$P$213)</f>
        <v>0</v>
      </c>
      <c r="O53" s="397">
        <f t="shared" si="7"/>
        <v>0</v>
      </c>
      <c r="P53" s="509">
        <f>SUMIF(开!$AZ$8:$AZ$213,$B$52&amp;$B53,开!$BO$8:$BO$213)</f>
        <v>0</v>
      </c>
      <c r="Q53" s="455">
        <f t="shared" si="8"/>
        <v>0</v>
      </c>
      <c r="R53" s="493">
        <f>COUNTIF('续 '!AR$8:AR$198,$B$52&amp;$B53)</f>
        <v>6</v>
      </c>
      <c r="S53" s="493">
        <f>SUMIF('续 '!$AR$8:$AR$198,$B$52&amp;$B53,'续 '!$F$8:$F$198)</f>
        <v>151635</v>
      </c>
      <c r="T53" s="509">
        <f>SUMIF('续 '!$AR$8:$AR$198,$B$52&amp;$B53,'续 '!$G$8:$G$198)</f>
        <v>31870</v>
      </c>
      <c r="U53" s="493">
        <f>SUMIF('续 '!$AR$8:$AR$198,$B$52&amp;$B53,'续 '!$L$8:$L$198)</f>
        <v>35000</v>
      </c>
      <c r="V53" s="493"/>
      <c r="W53" s="493">
        <f>SUMIF('续 '!$AR$8:$AR$198,$B$52&amp;$B53,'续 '!$O$8:$O$198)</f>
        <v>0</v>
      </c>
      <c r="X53" s="397">
        <f t="shared" si="10"/>
        <v>0</v>
      </c>
      <c r="Y53" s="493">
        <f>SUMIF('续 '!$AR$8:$AR$198,$B$52&amp;$B53,'续 '!$BJ$8:$BJ$198)</f>
        <v>0</v>
      </c>
      <c r="Z53" s="516">
        <f>COUNTIF(竣!AS$8:AS$130,$B$52&amp;$B53)</f>
        <v>4</v>
      </c>
      <c r="AA53" s="493">
        <f>SUMIF(竣!AS$8:AS$130,$B$52&amp;$B53,竣!F$8:F$130)</f>
        <v>26470</v>
      </c>
      <c r="AB53" s="509">
        <f>SUMIF(竣!AS$8:AS$130,$B$52&amp;$B53,竣!G$8:G$130)</f>
        <v>9900</v>
      </c>
      <c r="AC53" s="493">
        <f>SUMIF(竣!AS$8:AS$130,$B$52&amp;$B53,竣!L$8:L$130)</f>
        <v>16570</v>
      </c>
      <c r="AE53" s="493">
        <f>SUMIF(竣!$AS$8:$AS$130,$B$52&amp;$B53,竣!O$8:O$130)</f>
        <v>0</v>
      </c>
      <c r="AF53" s="397">
        <f t="shared" si="11"/>
        <v>0</v>
      </c>
      <c r="AG53" s="493">
        <f>SUMIF(竣!AS$8:AS$130,$B$52&amp;$B53,竣!BK$8:BK$130)</f>
        <v>0</v>
      </c>
      <c r="AH53" s="455">
        <f t="shared" si="12"/>
        <v>0</v>
      </c>
    </row>
    <row r="54" s="469" customFormat="1" ht="35.1" hidden="1" customHeight="1" spans="1:34">
      <c r="A54" s="491"/>
      <c r="B54" s="495" t="s">
        <v>2121</v>
      </c>
      <c r="C54" s="496">
        <f t="shared" si="50"/>
        <v>16</v>
      </c>
      <c r="D54" s="496">
        <f t="shared" si="50"/>
        <v>1033731.22</v>
      </c>
      <c r="E54" s="496">
        <f t="shared" si="14"/>
        <v>38736</v>
      </c>
      <c r="F54" s="496">
        <f t="shared" si="51"/>
        <v>84250</v>
      </c>
      <c r="G54" s="496"/>
      <c r="H54" s="497">
        <f t="shared" si="52"/>
        <v>0</v>
      </c>
      <c r="I54" s="504">
        <f t="shared" si="5"/>
        <v>0</v>
      </c>
      <c r="J54" s="493">
        <f>COUNTIF(开!AZ$8:AZ$213,$B$52&amp;$B54)</f>
        <v>10</v>
      </c>
      <c r="K54" s="493">
        <f>SUMIF(开!$AZ$8:$AZ$213,$B$52&amp;$B54,开!$F$8:$F$213)</f>
        <v>889851.22</v>
      </c>
      <c r="L54" s="509">
        <f>SUMIF(开!$AZ$8:$AZ$213,$B$52&amp;$B54,开!$L$8:$L$213)</f>
        <v>59000</v>
      </c>
      <c r="M54" s="509"/>
      <c r="N54" s="509">
        <f>SUMIF(开!$AZ$8:$AZ$213,$B$52&amp;$B54,开!$P$8:$P$213)</f>
        <v>0</v>
      </c>
      <c r="O54" s="397">
        <f t="shared" si="7"/>
        <v>0</v>
      </c>
      <c r="P54" s="509">
        <f>SUMIF(开!$AZ$8:$AZ$213,$B$52&amp;$B54,开!$BO$8:$BO$213)</f>
        <v>0</v>
      </c>
      <c r="Q54" s="455">
        <f t="shared" si="8"/>
        <v>0</v>
      </c>
      <c r="R54" s="493">
        <f>COUNTIF('续 '!AR$8:AR$198,$B$52&amp;$B54)</f>
        <v>5</v>
      </c>
      <c r="S54" s="493">
        <f>SUMIF('续 '!$AR$8:$AR$198,$B$52&amp;$B54,'续 '!$F$8:$F$198)</f>
        <v>123880</v>
      </c>
      <c r="T54" s="509">
        <f>SUMIF('续 '!$AR$8:$AR$198,$B$52&amp;$B54,'续 '!$G$8:$G$198)</f>
        <v>35986</v>
      </c>
      <c r="U54" s="493">
        <f>SUMIF('续 '!$AR$8:$AR$198,$B$52&amp;$B54,'续 '!$L$8:$L$198)</f>
        <v>8000</v>
      </c>
      <c r="V54" s="493"/>
      <c r="W54" s="493">
        <f>SUMIF('续 '!$AR$8:$AR$198,$B$52&amp;$B54,'续 '!$O$8:$O$198)</f>
        <v>0</v>
      </c>
      <c r="X54" s="397">
        <f t="shared" si="10"/>
        <v>0</v>
      </c>
      <c r="Y54" s="493">
        <f>SUMIF('续 '!$AR$8:$AR$198,$B$52&amp;$B54,'续 '!$BJ$8:$BJ$198)</f>
        <v>0</v>
      </c>
      <c r="Z54" s="516">
        <f>COUNTIF(竣!AS$8:AS$130,$B$52&amp;$B54)</f>
        <v>1</v>
      </c>
      <c r="AA54" s="493">
        <f>SUMIF(竣!AS$8:AS$130,$B$52&amp;$B54,竣!F$8:F$130)</f>
        <v>20000</v>
      </c>
      <c r="AB54" s="509">
        <f>SUMIF(竣!AS$8:AS$130,$B$52&amp;$B54,竣!G$8:G$130)</f>
        <v>2750</v>
      </c>
      <c r="AC54" s="493">
        <f>SUMIF(竣!AS$8:AS$130,$B$52&amp;$B54,竣!L$8:L$130)</f>
        <v>17250</v>
      </c>
      <c r="AE54" s="493">
        <f>SUMIF(竣!$AS$8:$AS$130,$B$52&amp;$B54,竣!O$8:O$130)</f>
        <v>0</v>
      </c>
      <c r="AF54" s="397">
        <f t="shared" si="11"/>
        <v>0</v>
      </c>
      <c r="AG54" s="493">
        <f>SUMIF(竣!AS$8:AS$130,$B$52&amp;$B54,竣!BK$8:BK$130)</f>
        <v>0</v>
      </c>
      <c r="AH54" s="455">
        <f t="shared" si="12"/>
        <v>0</v>
      </c>
    </row>
    <row r="55" s="469" customFormat="1" ht="35.1" hidden="1" customHeight="1" spans="1:34">
      <c r="A55" s="491"/>
      <c r="B55" s="495" t="s">
        <v>2132</v>
      </c>
      <c r="C55" s="496">
        <f t="shared" si="50"/>
        <v>8</v>
      </c>
      <c r="D55" s="496">
        <f t="shared" si="50"/>
        <v>263261</v>
      </c>
      <c r="E55" s="496">
        <f t="shared" si="14"/>
        <v>71323</v>
      </c>
      <c r="F55" s="496">
        <f t="shared" si="51"/>
        <v>54101</v>
      </c>
      <c r="G55" s="496"/>
      <c r="H55" s="497">
        <f t="shared" si="52"/>
        <v>0</v>
      </c>
      <c r="I55" s="504">
        <f t="shared" si="5"/>
        <v>0</v>
      </c>
      <c r="J55" s="493">
        <f>COUNTIF(开!AZ$8:AZ$213,$B$52&amp;$B55)</f>
        <v>3</v>
      </c>
      <c r="K55" s="493">
        <f>SUMIF(开!$AZ$8:$AZ$213,$B$52&amp;$B55,开!$F$8:$F$213)</f>
        <v>72537</v>
      </c>
      <c r="L55" s="509">
        <f>SUMIF(开!$AZ$8:$AZ$213,$B$52&amp;$B55,开!$L$8:$L$213)</f>
        <v>23000</v>
      </c>
      <c r="M55" s="509"/>
      <c r="N55" s="509">
        <f>SUMIF(开!$AZ$8:$AZ$213,$B$52&amp;$B55,开!$P$8:$P$213)</f>
        <v>0</v>
      </c>
      <c r="O55" s="397">
        <f t="shared" si="7"/>
        <v>0</v>
      </c>
      <c r="P55" s="509">
        <f>SUMIF(开!$AZ$8:$AZ$213,$B$52&amp;$B55,开!$BO$8:$BO$213)</f>
        <v>0</v>
      </c>
      <c r="Q55" s="455">
        <f t="shared" si="8"/>
        <v>0</v>
      </c>
      <c r="R55" s="493">
        <f>COUNTIF('续 '!AR$8:AR$198,$B$52&amp;$B55)</f>
        <v>3</v>
      </c>
      <c r="S55" s="493">
        <f>SUMIF('续 '!$AR$8:$AR$198,$B$52&amp;$B55,'续 '!$F$8:$F$198)</f>
        <v>167000</v>
      </c>
      <c r="T55" s="509">
        <f>SUMIF('续 '!$AR$8:$AR$198,$B$52&amp;$B55,'续 '!$G$8:$G$198)</f>
        <v>60000</v>
      </c>
      <c r="U55" s="493">
        <f>SUMIF('续 '!$AR$8:$AR$198,$B$52&amp;$B55,'续 '!$L$8:$L$198)</f>
        <v>18700</v>
      </c>
      <c r="V55" s="493"/>
      <c r="W55" s="493">
        <f>SUMIF('续 '!$AR$8:$AR$198,$B$52&amp;$B55,'续 '!$O$8:$O$198)</f>
        <v>0</v>
      </c>
      <c r="X55" s="397">
        <f t="shared" si="10"/>
        <v>0</v>
      </c>
      <c r="Y55" s="493">
        <f>SUMIF('续 '!$AR$8:$AR$198,$B$52&amp;$B55,'续 '!$BJ$8:$BJ$198)</f>
        <v>0</v>
      </c>
      <c r="Z55" s="516">
        <f>COUNTIF(竣!AS$8:AS$130,$B$52&amp;$B55)</f>
        <v>2</v>
      </c>
      <c r="AA55" s="493">
        <f>SUMIF(竣!AS$8:AS$130,$B$52&amp;$B55,竣!F$8:F$130)</f>
        <v>23724</v>
      </c>
      <c r="AB55" s="509">
        <f>SUMIF(竣!AS$8:AS$130,$B$52&amp;$B55,竣!G$8:G$130)</f>
        <v>11323</v>
      </c>
      <c r="AC55" s="493">
        <f>SUMIF(竣!AS$8:AS$130,$B$52&amp;$B55,竣!L$8:L$130)</f>
        <v>12401</v>
      </c>
      <c r="AE55" s="493">
        <f>SUMIF(竣!$AS$8:$AS$130,$B$52&amp;$B55,竣!O$8:O$130)</f>
        <v>0</v>
      </c>
      <c r="AF55" s="397">
        <f t="shared" si="11"/>
        <v>0</v>
      </c>
      <c r="AG55" s="493">
        <f>SUMIF(竣!AS$8:AS$130,$B$52&amp;$B55,竣!BK$8:BK$130)</f>
        <v>0</v>
      </c>
      <c r="AH55" s="455">
        <f t="shared" si="12"/>
        <v>0</v>
      </c>
    </row>
    <row r="56" s="469" customFormat="1" ht="31.9" customHeight="1" spans="1:34">
      <c r="A56" s="491" t="s">
        <v>2136</v>
      </c>
      <c r="B56" s="499" t="s">
        <v>2139</v>
      </c>
      <c r="C56" s="493">
        <f t="shared" ref="C56:F56" si="53">SUM(C57:C61)</f>
        <v>40</v>
      </c>
      <c r="D56" s="493">
        <f t="shared" si="53"/>
        <v>592780.17</v>
      </c>
      <c r="E56" s="493">
        <f t="shared" si="53"/>
        <v>138171</v>
      </c>
      <c r="F56" s="493">
        <f t="shared" si="53"/>
        <v>163780</v>
      </c>
      <c r="G56" s="494">
        <f>F56/$F$7</f>
        <v>0.0493112163357109</v>
      </c>
      <c r="H56" s="498">
        <f>SUM(H57:H61)</f>
        <v>0</v>
      </c>
      <c r="I56" s="504">
        <f t="shared" si="5"/>
        <v>0</v>
      </c>
      <c r="J56" s="493">
        <f>SUM(J57:J61)</f>
        <v>20</v>
      </c>
      <c r="K56" s="493">
        <f t="shared" ref="K56:AH56" si="54">SUM(K57:K61)</f>
        <v>185250.77</v>
      </c>
      <c r="L56" s="493">
        <f t="shared" si="54"/>
        <v>42980</v>
      </c>
      <c r="M56" s="493">
        <f t="shared" si="54"/>
        <v>0</v>
      </c>
      <c r="N56" s="493">
        <f t="shared" si="54"/>
        <v>0</v>
      </c>
      <c r="O56" s="493">
        <f t="shared" si="54"/>
        <v>0</v>
      </c>
      <c r="P56" s="493">
        <f t="shared" si="54"/>
        <v>0</v>
      </c>
      <c r="Q56" s="493">
        <f t="shared" si="54"/>
        <v>0</v>
      </c>
      <c r="R56" s="493">
        <f t="shared" si="54"/>
        <v>15</v>
      </c>
      <c r="S56" s="493">
        <f t="shared" si="54"/>
        <v>283757.4</v>
      </c>
      <c r="T56" s="493">
        <f t="shared" si="54"/>
        <v>64699</v>
      </c>
      <c r="U56" s="493">
        <f t="shared" si="54"/>
        <v>70500</v>
      </c>
      <c r="V56" s="493">
        <f t="shared" si="54"/>
        <v>0</v>
      </c>
      <c r="W56" s="493">
        <f t="shared" si="54"/>
        <v>0</v>
      </c>
      <c r="X56" s="493" t="e">
        <f t="shared" si="54"/>
        <v>#DIV/0!</v>
      </c>
      <c r="Y56" s="493">
        <f t="shared" si="54"/>
        <v>0</v>
      </c>
      <c r="Z56" s="516">
        <f t="shared" si="54"/>
        <v>5</v>
      </c>
      <c r="AA56" s="493">
        <f t="shared" si="54"/>
        <v>123772</v>
      </c>
      <c r="AB56" s="493">
        <f t="shared" si="54"/>
        <v>73472</v>
      </c>
      <c r="AC56" s="493">
        <f t="shared" si="54"/>
        <v>50300</v>
      </c>
      <c r="AD56" s="493">
        <f t="shared" si="54"/>
        <v>0</v>
      </c>
      <c r="AE56" s="493">
        <f t="shared" si="54"/>
        <v>0</v>
      </c>
      <c r="AF56" s="493" t="e">
        <f t="shared" si="54"/>
        <v>#DIV/0!</v>
      </c>
      <c r="AG56" s="493">
        <f t="shared" si="54"/>
        <v>0</v>
      </c>
      <c r="AH56" s="493" t="e">
        <f t="shared" si="54"/>
        <v>#DIV/0!</v>
      </c>
    </row>
    <row r="57" s="469" customFormat="1" ht="35.1" hidden="1" customHeight="1" spans="1:34">
      <c r="A57" s="491"/>
      <c r="B57" s="495" t="s">
        <v>2138</v>
      </c>
      <c r="C57" s="496">
        <f t="shared" ref="C57:D60" si="55">J57+R57+Z57</f>
        <v>20</v>
      </c>
      <c r="D57" s="496">
        <f t="shared" si="55"/>
        <v>392982.17</v>
      </c>
      <c r="E57" s="496">
        <f t="shared" si="14"/>
        <v>111721</v>
      </c>
      <c r="F57" s="496">
        <f t="shared" ref="F57:F61" si="56">L57+U57+AC57</f>
        <v>111481</v>
      </c>
      <c r="G57" s="496"/>
      <c r="H57" s="497">
        <f t="shared" ref="H57:H61" si="57">N57+W57+AE57</f>
        <v>0</v>
      </c>
      <c r="I57" s="504">
        <f t="shared" si="5"/>
        <v>0</v>
      </c>
      <c r="J57" s="493">
        <f>COUNTIF(开!AZ$8:AZ$213,$B$56&amp;$B57)</f>
        <v>6</v>
      </c>
      <c r="K57" s="493">
        <f>SUMIF(开!$AZ$8:$AZ$213,$B$56&amp;$B57,开!$F$8:$F$213)</f>
        <v>43121.77</v>
      </c>
      <c r="L57" s="509">
        <f>SUMIF(开!$AZ$8:$AZ$213,$B$56&amp;$B57,开!$L$8:$L$213)</f>
        <v>9780</v>
      </c>
      <c r="M57" s="509"/>
      <c r="N57" s="509">
        <f>SUMIF(开!$AZ$8:$AZ$213,$B$56&amp;$B57,开!$P$8:$P$213)</f>
        <v>0</v>
      </c>
      <c r="O57" s="397">
        <f t="shared" si="7"/>
        <v>0</v>
      </c>
      <c r="P57" s="509">
        <f>SUMIF(开!$AZ$8:$AZ$213,$B$56&amp;$B57,开!$BO$8:$BO$213)</f>
        <v>0</v>
      </c>
      <c r="Q57" s="455">
        <f t="shared" si="8"/>
        <v>0</v>
      </c>
      <c r="R57" s="493">
        <f>COUNTIF('续 '!AR$8:AR$198,$B$56&amp;$B57)</f>
        <v>12</v>
      </c>
      <c r="S57" s="493">
        <f>SUMIF('续 '!$AR$8:$AR$198,$B$56&amp;$B57,'续 '!$F$8:$F$198)</f>
        <v>241385.4</v>
      </c>
      <c r="T57" s="509">
        <f>SUMIF('续 '!$AR$8:$AR$198,$B$56&amp;$B57,'续 '!$G$8:$G$198)</f>
        <v>46447</v>
      </c>
      <c r="U57" s="493">
        <f>SUMIF('续 '!$AR$8:$AR$198,$B$56&amp;$B57,'续 '!$L$8:$L$198)</f>
        <v>58500</v>
      </c>
      <c r="V57" s="493"/>
      <c r="W57" s="493">
        <f>SUMIF('续 '!$AR$8:$AR$198,$B$56&amp;$B57,'续 '!$O$8:$O$198)</f>
        <v>0</v>
      </c>
      <c r="X57" s="397">
        <f t="shared" si="10"/>
        <v>0</v>
      </c>
      <c r="Y57" s="493">
        <f>SUMIF('续 '!$AR$8:$AR$198,$B$56&amp;$B57,'续 '!$BJ$8:$BJ$198)</f>
        <v>0</v>
      </c>
      <c r="Z57" s="516">
        <f>COUNTIF(竣!AS$8:AS$130,$B$56&amp;$B57)</f>
        <v>2</v>
      </c>
      <c r="AA57" s="493">
        <f>SUMIF(竣!AS$8:AS$130,$B$56&amp;$B57,竣!F$8:F$130)</f>
        <v>108475</v>
      </c>
      <c r="AB57" s="509">
        <f>SUMIF(竣!AS$8:AS$130,$B$56&amp;$B57,竣!G$8:G$130)</f>
        <v>65274</v>
      </c>
      <c r="AC57" s="493">
        <f>SUMIF(竣!AS$8:AS$130,$B$56&amp;$B57,竣!L$8:L$130)</f>
        <v>43201</v>
      </c>
      <c r="AE57" s="493">
        <f>SUMIF(竣!$AS$8:$AS$130,$B$56&amp;$B57,竣!O$8:O$130)</f>
        <v>0</v>
      </c>
      <c r="AF57" s="397">
        <f t="shared" si="11"/>
        <v>0</v>
      </c>
      <c r="AG57" s="493">
        <f>SUMIF(竣!AS$8:AS$130,$B$56&amp;$B57,竣!BK$8:BK$130)</f>
        <v>0</v>
      </c>
      <c r="AH57" s="455">
        <f t="shared" si="12"/>
        <v>0</v>
      </c>
    </row>
    <row r="58" s="469" customFormat="1" ht="35.1" hidden="1" customHeight="1" spans="1:34">
      <c r="A58" s="491"/>
      <c r="B58" s="495" t="s">
        <v>2147</v>
      </c>
      <c r="C58" s="496">
        <f t="shared" si="55"/>
        <v>8</v>
      </c>
      <c r="D58" s="496">
        <f t="shared" si="55"/>
        <v>60490</v>
      </c>
      <c r="E58" s="496">
        <f t="shared" si="14"/>
        <v>12298</v>
      </c>
      <c r="F58" s="496">
        <f t="shared" si="56"/>
        <v>17599</v>
      </c>
      <c r="G58" s="496"/>
      <c r="H58" s="497">
        <f t="shared" si="57"/>
        <v>0</v>
      </c>
      <c r="I58" s="504">
        <f t="shared" si="5"/>
        <v>0</v>
      </c>
      <c r="J58" s="493">
        <f>COUNTIF(开!AZ$8:AZ$213,$B$56&amp;$B58)</f>
        <v>4</v>
      </c>
      <c r="K58" s="493">
        <f>SUMIF(开!$AZ$8:$AZ$213,$B$56&amp;$B58,开!$F$8:$F$213)</f>
        <v>36420</v>
      </c>
      <c r="L58" s="509">
        <f>SUMIF(开!$AZ$8:$AZ$213,$B$56&amp;$B58,开!$L$8:$L$213)</f>
        <v>6500</v>
      </c>
      <c r="M58" s="509"/>
      <c r="N58" s="509">
        <f>SUMIF(开!$AZ$8:$AZ$213,$B$56&amp;$B58,开!$P$8:$P$213)</f>
        <v>0</v>
      </c>
      <c r="O58" s="397">
        <f t="shared" si="7"/>
        <v>0</v>
      </c>
      <c r="P58" s="509">
        <f>SUMIF(开!$AZ$8:$AZ$213,$B$56&amp;$B58,开!$BO$8:$BO$213)</f>
        <v>0</v>
      </c>
      <c r="Q58" s="455">
        <f t="shared" si="8"/>
        <v>0</v>
      </c>
      <c r="R58" s="493">
        <f>COUNTIF('续 '!AR$8:AR$198,$B$56&amp;$B58)</f>
        <v>1</v>
      </c>
      <c r="S58" s="493">
        <f>SUMIF('续 '!$AR$8:$AR$198,$B$56&amp;$B58,'续 '!$F$8:$F$198)</f>
        <v>8773</v>
      </c>
      <c r="T58" s="509">
        <f>SUMIF('续 '!$AR$8:$AR$198,$B$56&amp;$B58,'续 '!$G$8:$G$198)</f>
        <v>4100</v>
      </c>
      <c r="U58" s="493">
        <f>SUMIF('续 '!$AR$8:$AR$198,$B$56&amp;$B58,'续 '!$L$8:$L$198)</f>
        <v>4000</v>
      </c>
      <c r="V58" s="493"/>
      <c r="W58" s="493">
        <f>SUMIF('续 '!$AR$8:$AR$198,$B$56&amp;$B58,'续 '!$O$8:$O$198)</f>
        <v>0</v>
      </c>
      <c r="X58" s="397">
        <f t="shared" si="10"/>
        <v>0</v>
      </c>
      <c r="Y58" s="493">
        <f>SUMIF('续 '!$AR$8:$AR$198,$B$56&amp;$B58,'续 '!$BJ$8:$BJ$198)</f>
        <v>0</v>
      </c>
      <c r="Z58" s="516">
        <f>COUNTIF(竣!AS$8:AS$130,$B$56&amp;$B58)</f>
        <v>3</v>
      </c>
      <c r="AA58" s="493">
        <f>SUMIF(竣!AS$8:AS$130,$B$56&amp;$B58,竣!F$8:F$130)</f>
        <v>15297</v>
      </c>
      <c r="AB58" s="509">
        <f>SUMIF(竣!AS$8:AS$130,$B$56&amp;$B58,竣!G$8:G$130)</f>
        <v>8198</v>
      </c>
      <c r="AC58" s="493">
        <f>SUMIF(竣!AS$8:AS$130,$B$56&amp;$B58,竣!L$8:L$130)</f>
        <v>7099</v>
      </c>
      <c r="AE58" s="493">
        <f>SUMIF(竣!$AS$8:$AS$130,$B$56&amp;$B58,竣!O$8:O$130)</f>
        <v>0</v>
      </c>
      <c r="AF58" s="397">
        <f t="shared" si="11"/>
        <v>0</v>
      </c>
      <c r="AG58" s="493">
        <f>SUMIF(竣!AS$8:AS$130,$B$56&amp;$B58,竣!BK$8:BK$130)</f>
        <v>0</v>
      </c>
      <c r="AH58" s="455">
        <f t="shared" si="12"/>
        <v>0</v>
      </c>
    </row>
    <row r="59" s="469" customFormat="1" ht="35.1" hidden="1" customHeight="1" spans="1:34">
      <c r="A59" s="491"/>
      <c r="B59" s="495" t="s">
        <v>2154</v>
      </c>
      <c r="C59" s="496">
        <f t="shared" si="55"/>
        <v>1</v>
      </c>
      <c r="D59" s="496">
        <f t="shared" si="55"/>
        <v>5000</v>
      </c>
      <c r="E59" s="496">
        <f t="shared" si="14"/>
        <v>0</v>
      </c>
      <c r="F59" s="496">
        <f t="shared" si="56"/>
        <v>3000</v>
      </c>
      <c r="G59" s="496"/>
      <c r="H59" s="497">
        <f t="shared" si="57"/>
        <v>0</v>
      </c>
      <c r="I59" s="504">
        <f t="shared" si="5"/>
        <v>0</v>
      </c>
      <c r="J59" s="493">
        <f>COUNTIF(开!AZ$8:AZ$213,$B$56&amp;$B59)</f>
        <v>1</v>
      </c>
      <c r="K59" s="493">
        <f>SUMIF(开!$AZ$8:$AZ$213,$B$56&amp;$B59,开!$F$8:$F$213)</f>
        <v>5000</v>
      </c>
      <c r="L59" s="509">
        <f>SUMIF(开!$AZ$8:$AZ$213,$B$56&amp;$B59,开!$L$8:$L$213)</f>
        <v>3000</v>
      </c>
      <c r="M59" s="509"/>
      <c r="N59" s="509">
        <f>SUMIF(开!$AZ$8:$AZ$213,$B$56&amp;$B59,开!$P$8:$P$213)</f>
        <v>0</v>
      </c>
      <c r="O59" s="397">
        <f t="shared" si="7"/>
        <v>0</v>
      </c>
      <c r="P59" s="509">
        <f>SUMIF(开!$AZ$8:$AZ$213,$B$56&amp;$B59,开!$BO$8:$BO$213)</f>
        <v>0</v>
      </c>
      <c r="Q59" s="455">
        <f t="shared" si="8"/>
        <v>0</v>
      </c>
      <c r="R59" s="493">
        <f>COUNTIF('续 '!AR$8:AR$198,$B$56&amp;$B59)</f>
        <v>0</v>
      </c>
      <c r="S59" s="493">
        <f>SUMIF('续 '!$AR$8:$AR$198,$B$56&amp;$B59,'续 '!$F$8:$F$198)</f>
        <v>0</v>
      </c>
      <c r="T59" s="509">
        <f>SUMIF('续 '!$AR$8:$AR$198,$B$56&amp;$B59,'续 '!$G$8:$G$198)</f>
        <v>0</v>
      </c>
      <c r="U59" s="493">
        <f>SUMIF('续 '!$AR$8:$AR$198,$B$56&amp;$B59,'续 '!$L$8:$L$198)</f>
        <v>0</v>
      </c>
      <c r="V59" s="493"/>
      <c r="W59" s="493">
        <f>SUMIF('续 '!$AR$8:$AR$198,$B$56&amp;$B59,'续 '!$O$8:$O$198)</f>
        <v>0</v>
      </c>
      <c r="X59" s="397" t="e">
        <f t="shared" si="10"/>
        <v>#DIV/0!</v>
      </c>
      <c r="Y59" s="493">
        <f>SUMIF('续 '!$AR$8:$AR$198,$B$56&amp;$B59,'续 '!$BJ$8:$BJ$198)</f>
        <v>0</v>
      </c>
      <c r="Z59" s="516">
        <f>COUNTIF(竣!AS$8:AS$130,$B$56&amp;$B59)</f>
        <v>0</v>
      </c>
      <c r="AA59" s="493">
        <f>SUMIF(竣!AS$8:AS$130,$B$56&amp;$B59,竣!F$8:F$130)</f>
        <v>0</v>
      </c>
      <c r="AB59" s="509">
        <f>SUMIF(竣!AS$8:AS$130,$B$56&amp;$B59,竣!G$8:G$130)</f>
        <v>0</v>
      </c>
      <c r="AC59" s="493">
        <f>SUMIF(竣!AS$8:AS$130,$B$56&amp;$B59,竣!L$8:L$130)</f>
        <v>0</v>
      </c>
      <c r="AE59" s="493">
        <f>SUMIF(竣!$AS$8:$AS$130,$B$56&amp;$B59,竣!O$8:O$130)</f>
        <v>0</v>
      </c>
      <c r="AF59" s="397" t="e">
        <f t="shared" si="11"/>
        <v>#DIV/0!</v>
      </c>
      <c r="AG59" s="493">
        <f>SUMIF(竣!AS$8:AS$130,$B$56&amp;$B59,竣!BK$8:BK$130)</f>
        <v>0</v>
      </c>
      <c r="AH59" s="455" t="e">
        <f t="shared" si="12"/>
        <v>#DIV/0!</v>
      </c>
    </row>
    <row r="60" s="469" customFormat="1" ht="35.1" hidden="1" customHeight="1" spans="1:34">
      <c r="A60" s="491"/>
      <c r="B60" s="495" t="s">
        <v>2158</v>
      </c>
      <c r="C60" s="496">
        <f t="shared" si="55"/>
        <v>3</v>
      </c>
      <c r="D60" s="496">
        <f t="shared" si="55"/>
        <v>47599</v>
      </c>
      <c r="E60" s="496">
        <f t="shared" si="14"/>
        <v>8852</v>
      </c>
      <c r="F60" s="496">
        <f t="shared" si="56"/>
        <v>14000</v>
      </c>
      <c r="G60" s="496"/>
      <c r="H60" s="497">
        <f t="shared" si="57"/>
        <v>0</v>
      </c>
      <c r="I60" s="504">
        <f t="shared" si="5"/>
        <v>0</v>
      </c>
      <c r="J60" s="493">
        <f>COUNTIF(开!AZ$8:AZ$213,$B$56&amp;$B60)</f>
        <v>2</v>
      </c>
      <c r="K60" s="493">
        <f>SUMIF(开!$AZ$8:$AZ$213,$B$56&amp;$B60,开!$F$8:$F$213)</f>
        <v>32000</v>
      </c>
      <c r="L60" s="509">
        <f>SUMIF(开!$AZ$8:$AZ$213,$B$56&amp;$B60,开!$L$8:$L$213)</f>
        <v>11000</v>
      </c>
      <c r="M60" s="509"/>
      <c r="N60" s="509">
        <f>SUMIF(开!$AZ$8:$AZ$213,$B$56&amp;$B60,开!$P$8:$P$213)</f>
        <v>0</v>
      </c>
      <c r="O60" s="397">
        <f t="shared" si="7"/>
        <v>0</v>
      </c>
      <c r="P60" s="509">
        <f>SUMIF(开!$AZ$8:$AZ$213,$B$56&amp;$B60,开!$BO$8:$BO$213)</f>
        <v>0</v>
      </c>
      <c r="Q60" s="455">
        <f t="shared" si="8"/>
        <v>0</v>
      </c>
      <c r="R60" s="493">
        <f>COUNTIF('续 '!AR$8:AR$198,$B$56&amp;$B60)</f>
        <v>1</v>
      </c>
      <c r="S60" s="493">
        <f>SUMIF('续 '!$AR$8:$AR$198,$B$56&amp;$B60,'续 '!$F$8:$F$198)</f>
        <v>15599</v>
      </c>
      <c r="T60" s="509">
        <f>SUMIF('续 '!$AR$8:$AR$198,$B$56&amp;$B60,'续 '!$G$8:$G$198)</f>
        <v>8852</v>
      </c>
      <c r="U60" s="493">
        <f>SUMIF('续 '!$AR$8:$AR$198,$B$56&amp;$B60,'续 '!$L$8:$L$198)</f>
        <v>3000</v>
      </c>
      <c r="V60" s="493"/>
      <c r="W60" s="493">
        <f>SUMIF('续 '!$AR$8:$AR$198,$B$56&amp;$B60,'续 '!$O$8:$O$198)</f>
        <v>0</v>
      </c>
      <c r="X60" s="397">
        <f t="shared" si="10"/>
        <v>0</v>
      </c>
      <c r="Y60" s="493">
        <f>SUMIF('续 '!$AR$8:$AR$198,$B$56&amp;$B60,'续 '!$BJ$8:$BJ$198)</f>
        <v>0</v>
      </c>
      <c r="Z60" s="516">
        <f>COUNTIF(竣!AS$8:AS$130,$B$56&amp;$B60)</f>
        <v>0</v>
      </c>
      <c r="AA60" s="493">
        <f>SUMIF(竣!AS$8:AS$130,$B$56&amp;$B60,竣!F$8:F$130)</f>
        <v>0</v>
      </c>
      <c r="AB60" s="509">
        <f>SUMIF(竣!AS$8:AS$130,$B$56&amp;$B60,竣!G$8:G$130)</f>
        <v>0</v>
      </c>
      <c r="AC60" s="493">
        <f>SUMIF(竣!AS$8:AS$130,$B$56&amp;$B60,竣!L$8:L$130)</f>
        <v>0</v>
      </c>
      <c r="AE60" s="493">
        <f>SUMIF(竣!$AS$8:$AS$130,$B$56&amp;$B60,竣!O$8:O$130)</f>
        <v>0</v>
      </c>
      <c r="AF60" s="397" t="e">
        <f t="shared" si="11"/>
        <v>#DIV/0!</v>
      </c>
      <c r="AG60" s="493">
        <f>SUMIF(竣!AS$8:AS$130,$B$56&amp;$B60,竣!BK$8:BK$130)</f>
        <v>0</v>
      </c>
      <c r="AH60" s="455" t="e">
        <f t="shared" si="12"/>
        <v>#DIV/0!</v>
      </c>
    </row>
    <row r="61" s="469" customFormat="1" ht="35.1" hidden="1" customHeight="1" spans="1:34">
      <c r="A61" s="491"/>
      <c r="B61" s="495" t="s">
        <v>2051</v>
      </c>
      <c r="C61" s="496">
        <f>J61+R61+Z61</f>
        <v>8</v>
      </c>
      <c r="D61" s="496">
        <f>K61+S61+AA61</f>
        <v>86709</v>
      </c>
      <c r="E61" s="496">
        <f t="shared" si="14"/>
        <v>5300</v>
      </c>
      <c r="F61" s="496">
        <f t="shared" si="56"/>
        <v>17700</v>
      </c>
      <c r="G61" s="496"/>
      <c r="H61" s="497">
        <f t="shared" si="57"/>
        <v>0</v>
      </c>
      <c r="I61" s="504">
        <f t="shared" si="5"/>
        <v>0</v>
      </c>
      <c r="J61" s="493">
        <f>COUNTIF(开!AZ$8:AZ$213,$B$56&amp;$B61)</f>
        <v>7</v>
      </c>
      <c r="K61" s="493">
        <f>SUMIF(开!$AZ$8:$AZ$213,$B$56&amp;$B61,开!$F$8:$F$213)</f>
        <v>68709</v>
      </c>
      <c r="L61" s="509">
        <f>SUMIF(开!$AZ$8:$AZ$213,$B$56&amp;$B61,开!$L$8:$L$213)</f>
        <v>12700</v>
      </c>
      <c r="M61" s="509"/>
      <c r="N61" s="509">
        <f>SUMIF(开!$AZ$8:$AZ$213,$B$56&amp;$B61,开!$P$8:$P$213)</f>
        <v>0</v>
      </c>
      <c r="O61" s="397">
        <f t="shared" si="7"/>
        <v>0</v>
      </c>
      <c r="P61" s="509">
        <f>SUMIF(开!$AZ$8:$AZ$213,$B$56&amp;$B61,开!$BO$8:$BO$213)</f>
        <v>0</v>
      </c>
      <c r="Q61" s="455">
        <f t="shared" si="8"/>
        <v>0</v>
      </c>
      <c r="R61" s="493">
        <f>COUNTIF('续 '!AR$8:AR$198,$B$56&amp;$B61)</f>
        <v>1</v>
      </c>
      <c r="S61" s="493">
        <f>SUMIF('续 '!$AR$8:$AR$198,$B$56&amp;$B61,'续 '!$F$8:$F$198)</f>
        <v>18000</v>
      </c>
      <c r="T61" s="509">
        <f>SUMIF('续 '!$AR$8:$AR$198,$B$56&amp;$B61,'续 '!$G$8:$G$198)</f>
        <v>5300</v>
      </c>
      <c r="U61" s="493">
        <f>SUMIF('续 '!$AR$8:$AR$198,$B$56&amp;$B61,'续 '!$L$8:$L$198)</f>
        <v>5000</v>
      </c>
      <c r="V61" s="493"/>
      <c r="W61" s="493">
        <f>SUMIF('续 '!$AR$8:$AR$198,$B$56&amp;$B61,'续 '!$O$8:$O$198)</f>
        <v>0</v>
      </c>
      <c r="X61" s="397">
        <f t="shared" si="10"/>
        <v>0</v>
      </c>
      <c r="Y61" s="493">
        <f>SUMIF('续 '!$AR$8:$AR$198,$B$56&amp;$B61,'续 '!$BJ$8:$BJ$198)</f>
        <v>0</v>
      </c>
      <c r="Z61" s="516">
        <f>COUNTIF(竣!AS$8:AS$130,$B$56&amp;$B61)</f>
        <v>0</v>
      </c>
      <c r="AA61" s="493">
        <f>SUMIF(竣!AS$8:AS$130,$B$56&amp;$B61,竣!F$8:F$130)</f>
        <v>0</v>
      </c>
      <c r="AB61" s="509">
        <f>SUMIF(竣!AS$8:AS$130,$B$56&amp;$B61,竣!G$8:G$130)</f>
        <v>0</v>
      </c>
      <c r="AC61" s="493">
        <f>SUMIF(竣!AS$8:AS$130,$B$56&amp;$B61,竣!L$8:L$130)</f>
        <v>0</v>
      </c>
      <c r="AE61" s="493">
        <f>SUMIF(竣!$AS$8:$AS$130,$B$56&amp;$B61,竣!O$8:O$130)</f>
        <v>0</v>
      </c>
      <c r="AF61" s="397" t="e">
        <f t="shared" si="11"/>
        <v>#DIV/0!</v>
      </c>
      <c r="AG61" s="493">
        <f>SUMIF(竣!AS$8:AS$130,$B$56&amp;$B61,竣!BK$8:BK$130)</f>
        <v>0</v>
      </c>
      <c r="AH61" s="455" t="e">
        <f t="shared" si="12"/>
        <v>#DIV/0!</v>
      </c>
    </row>
    <row r="65" ht="25.5" spans="4:34">
      <c r="D65" s="519"/>
      <c r="E65" s="520"/>
      <c r="F65" s="521"/>
      <c r="G65" s="521"/>
      <c r="H65" s="522"/>
      <c r="I65" s="523"/>
      <c r="L65" s="524"/>
      <c r="M65" s="524"/>
      <c r="N65" s="525"/>
      <c r="O65" s="526"/>
      <c r="P65" s="526"/>
      <c r="Q65" s="527"/>
      <c r="R65" s="524"/>
      <c r="S65" s="524"/>
      <c r="T65" s="524"/>
      <c r="W65" s="525"/>
      <c r="X65" s="526"/>
      <c r="Y65" s="526"/>
      <c r="Z65" s="528"/>
      <c r="AA65" s="524"/>
      <c r="AB65" s="524"/>
      <c r="AE65" s="525"/>
      <c r="AF65" s="526"/>
      <c r="AG65" s="526"/>
      <c r="AH65" s="527"/>
    </row>
    <row r="67" ht="12.75" customHeight="1"/>
  </sheetData>
  <autoFilter ref="A6:AC61">
    <filterColumn colId="0">
      <customFilters and="1">
        <customFilter operator="notEqual" val=""/>
        <customFilter operator="equal" val=""/>
      </customFilters>
    </filterColumn>
    <extLst/>
  </autoFilter>
  <mergeCells count="15">
    <mergeCell ref="A2:AD2"/>
    <mergeCell ref="E3:F3"/>
    <mergeCell ref="J4:Q4"/>
    <mergeCell ref="R4:Y4"/>
    <mergeCell ref="Z4:AC4"/>
    <mergeCell ref="A7:B7"/>
    <mergeCell ref="A4:A5"/>
    <mergeCell ref="B4:B5"/>
    <mergeCell ref="C4:C5"/>
    <mergeCell ref="D4:D5"/>
    <mergeCell ref="E4:E5"/>
    <mergeCell ref="F4:F5"/>
    <mergeCell ref="G4:G5"/>
    <mergeCell ref="H4:H5"/>
    <mergeCell ref="I4:I5"/>
  </mergeCells>
  <printOptions horizontalCentered="1"/>
  <pageMargins left="0.509722222222222" right="0.509722222222222" top="0.55" bottom="0.55" header="0.309722222222222" footer="0.309722222222222"/>
  <pageSetup paperSize="9" scale="85" firstPageNumber="4294963191" fitToHeight="0" orientation="landscape" blackAndWhite="1" useFirstPageNumber="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70"/>
  <sheetViews>
    <sheetView showZeros="0" zoomScale="70" zoomScaleNormal="70" topLeftCell="A2" workbookViewId="0">
      <pane xSplit="2" ySplit="5" topLeftCell="C7" activePane="bottomRight" state="frozen"/>
      <selection/>
      <selection pane="topRight"/>
      <selection pane="bottomLeft"/>
      <selection pane="bottomRight" activeCell="B31" sqref="B31"/>
    </sheetView>
  </sheetViews>
  <sheetFormatPr defaultColWidth="8.85714285714286" defaultRowHeight="12"/>
  <cols>
    <col min="1" max="1" width="8.85714285714286" style="335" customWidth="1"/>
    <col min="2" max="2" width="38.4285714285714" style="435" customWidth="1"/>
    <col min="3" max="3" width="7.71428571428571" style="436" customWidth="1"/>
    <col min="4" max="4" width="12.8571428571429" style="338" customWidth="1"/>
    <col min="5" max="5" width="10.7142857142857" style="338" customWidth="1"/>
    <col min="6" max="6" width="10.7142857142857" style="437" customWidth="1"/>
    <col min="7" max="7" width="10.7142857142857" style="413" hidden="1" customWidth="1"/>
    <col min="8" max="8" width="10.7142857142857" style="340" hidden="1" customWidth="1"/>
    <col min="9" max="9" width="8.71428571428571" style="337" customWidth="1"/>
    <col min="10" max="10" width="12.7142857142857" style="335" hidden="1" customWidth="1"/>
    <col min="11" max="11" width="12.7142857142857" style="335" customWidth="1"/>
    <col min="12" max="12" width="9.28571428571429" style="335" hidden="1" customWidth="1"/>
    <col min="13" max="13" width="9.28571428571429" style="338" hidden="1" customWidth="1"/>
    <col min="14" max="14" width="9.28571428571429" style="342" hidden="1" customWidth="1"/>
    <col min="15" max="15" width="9.28571428571429" style="415" hidden="1" customWidth="1"/>
    <col min="16" max="16" width="9.28571428571429" style="340" hidden="1" customWidth="1"/>
    <col min="17" max="17" width="8.71428571428571" style="337" customWidth="1"/>
    <col min="18" max="19" width="12.7142857142857" style="337" hidden="1" customWidth="1"/>
    <col min="20" max="20" width="12.7142857142857" style="337" customWidth="1"/>
    <col min="21" max="21" width="8.85714285714286" style="337" hidden="1" customWidth="1"/>
    <col min="22" max="22" width="9.28571428571429" style="338" hidden="1" customWidth="1"/>
    <col min="23" max="24" width="9.28571428571429" style="342" hidden="1" customWidth="1"/>
    <col min="25" max="25" width="8.71428571428571" style="337" customWidth="1"/>
    <col min="26" max="27" width="12.7142857142857" style="337" hidden="1" customWidth="1"/>
    <col min="28" max="28" width="12.7142857142857" style="337" customWidth="1"/>
    <col min="29" max="29" width="10.1428571428571" style="335" hidden="1" customWidth="1"/>
    <col min="30" max="30" width="9.28571428571429" style="338" hidden="1" customWidth="1"/>
    <col min="31" max="32" width="9.28571428571429" style="342" hidden="1" customWidth="1"/>
    <col min="33" max="33" width="9.28571428571429" style="340" hidden="1" customWidth="1"/>
    <col min="34" max="34" width="12.4285714285714" style="438" customWidth="1"/>
    <col min="35" max="35" width="11.7142857142857" style="438" customWidth="1"/>
    <col min="36" max="37" width="9" style="438" customWidth="1"/>
    <col min="38" max="16384" width="8.85714285714286" style="335"/>
  </cols>
  <sheetData>
    <row r="1" ht="21.75" hidden="1" customHeight="1" spans="1:28">
      <c r="A1" s="343" t="s">
        <v>2744</v>
      </c>
      <c r="B1" s="344"/>
      <c r="C1" s="439"/>
      <c r="D1" s="346"/>
      <c r="E1" s="346"/>
      <c r="F1" s="440"/>
      <c r="G1" s="416"/>
      <c r="H1" s="348"/>
      <c r="Q1" s="335"/>
      <c r="R1" s="335"/>
      <c r="S1" s="335"/>
      <c r="T1" s="335"/>
      <c r="U1" s="335"/>
      <c r="Y1" s="335"/>
      <c r="Z1" s="335"/>
      <c r="AA1" s="335"/>
      <c r="AB1" s="335"/>
    </row>
    <row r="2" ht="68.65" customHeight="1" spans="1:33">
      <c r="A2" s="349" t="s">
        <v>2745</v>
      </c>
      <c r="B2" s="441"/>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349"/>
      <c r="AD2" s="404"/>
      <c r="AE2" s="405"/>
      <c r="AF2" s="335"/>
      <c r="AG2" s="462"/>
    </row>
    <row r="3" s="333" customFormat="1" ht="18.75" customHeight="1" spans="1:37">
      <c r="A3" s="350"/>
      <c r="B3" s="442"/>
      <c r="C3" s="443"/>
      <c r="D3" s="351"/>
      <c r="E3" s="352"/>
      <c r="F3" s="444"/>
      <c r="G3" s="417"/>
      <c r="H3" s="354"/>
      <c r="I3" s="425"/>
      <c r="J3" s="452"/>
      <c r="M3" s="407"/>
      <c r="N3" s="389"/>
      <c r="O3" s="427"/>
      <c r="P3" s="453"/>
      <c r="Q3" s="387"/>
      <c r="R3" s="387"/>
      <c r="S3" s="387"/>
      <c r="T3" s="431" t="s">
        <v>3</v>
      </c>
      <c r="U3" s="387"/>
      <c r="V3" s="407"/>
      <c r="W3" s="389"/>
      <c r="X3" s="389"/>
      <c r="Y3" s="387"/>
      <c r="Z3" s="387"/>
      <c r="AA3" s="387"/>
      <c r="AB3" s="431"/>
      <c r="AD3" s="407"/>
      <c r="AE3" s="389"/>
      <c r="AF3" s="389"/>
      <c r="AG3" s="453"/>
      <c r="AH3" s="463"/>
      <c r="AI3" s="463"/>
      <c r="AJ3" s="463"/>
      <c r="AK3" s="463"/>
    </row>
    <row r="4" ht="30" customHeight="1" spans="1:33">
      <c r="A4" s="355" t="s">
        <v>1695</v>
      </c>
      <c r="B4" s="355" t="s">
        <v>2746</v>
      </c>
      <c r="C4" s="445" t="s">
        <v>2721</v>
      </c>
      <c r="D4" s="355" t="s">
        <v>1700</v>
      </c>
      <c r="E4" s="355" t="s">
        <v>1701</v>
      </c>
      <c r="F4" s="445" t="s">
        <v>2724</v>
      </c>
      <c r="G4" s="446" t="s">
        <v>2726</v>
      </c>
      <c r="H4" s="447" t="s">
        <v>2727</v>
      </c>
      <c r="I4" s="454" t="s">
        <v>2728</v>
      </c>
      <c r="J4" s="395"/>
      <c r="K4" s="454"/>
      <c r="L4" s="395"/>
      <c r="M4" s="395"/>
      <c r="N4" s="395"/>
      <c r="O4" s="395"/>
      <c r="P4" s="395"/>
      <c r="Q4" s="454" t="s">
        <v>2729</v>
      </c>
      <c r="R4" s="395"/>
      <c r="S4" s="395"/>
      <c r="T4" s="454"/>
      <c r="U4" s="395"/>
      <c r="V4" s="395"/>
      <c r="W4" s="395"/>
      <c r="X4" s="395"/>
      <c r="Y4" s="459" t="s">
        <v>2730</v>
      </c>
      <c r="Z4" s="460"/>
      <c r="AA4" s="460"/>
      <c r="AB4" s="461"/>
      <c r="AC4" s="408"/>
      <c r="AD4" s="408"/>
      <c r="AE4" s="408"/>
      <c r="AF4" s="399"/>
      <c r="AG4" s="464"/>
    </row>
    <row r="5" ht="69.6" customHeight="1" spans="1:33">
      <c r="A5" s="355"/>
      <c r="B5" s="355"/>
      <c r="C5" s="445"/>
      <c r="D5" s="355"/>
      <c r="E5" s="355"/>
      <c r="F5" s="445"/>
      <c r="G5" s="446"/>
      <c r="H5" s="447"/>
      <c r="I5" s="454" t="s">
        <v>2731</v>
      </c>
      <c r="J5" s="395" t="s">
        <v>1700</v>
      </c>
      <c r="K5" s="454" t="s">
        <v>1709</v>
      </c>
      <c r="L5" s="395" t="s">
        <v>2732</v>
      </c>
      <c r="M5" s="410" t="s">
        <v>2733</v>
      </c>
      <c r="N5" s="397" t="s">
        <v>2727</v>
      </c>
      <c r="O5" s="397" t="s">
        <v>2734</v>
      </c>
      <c r="P5" s="455" t="s">
        <v>2735</v>
      </c>
      <c r="Q5" s="454" t="s">
        <v>2731</v>
      </c>
      <c r="R5" s="395" t="s">
        <v>1700</v>
      </c>
      <c r="S5" s="395" t="s">
        <v>1701</v>
      </c>
      <c r="T5" s="454" t="s">
        <v>1709</v>
      </c>
      <c r="U5" s="395" t="s">
        <v>2732</v>
      </c>
      <c r="V5" s="410" t="s">
        <v>2733</v>
      </c>
      <c r="W5" s="397" t="s">
        <v>2727</v>
      </c>
      <c r="X5" s="397" t="s">
        <v>2736</v>
      </c>
      <c r="Y5" s="454" t="s">
        <v>2731</v>
      </c>
      <c r="Z5" s="395" t="s">
        <v>1700</v>
      </c>
      <c r="AA5" s="395" t="s">
        <v>1701</v>
      </c>
      <c r="AB5" s="454" t="s">
        <v>1709</v>
      </c>
      <c r="AC5" s="395" t="s">
        <v>2732</v>
      </c>
      <c r="AD5" s="410" t="s">
        <v>2733</v>
      </c>
      <c r="AE5" s="397" t="s">
        <v>2727</v>
      </c>
      <c r="AF5" s="397" t="s">
        <v>2737</v>
      </c>
      <c r="AG5" s="455" t="s">
        <v>2738</v>
      </c>
    </row>
    <row r="6" ht="18" customHeight="1" spans="1:33">
      <c r="A6" s="360"/>
      <c r="B6" s="448"/>
      <c r="C6" s="449"/>
      <c r="D6" s="362"/>
      <c r="E6" s="363"/>
      <c r="F6" s="450"/>
      <c r="G6" s="420"/>
      <c r="H6" s="421"/>
      <c r="I6" s="456"/>
      <c r="J6" s="399"/>
      <c r="K6" s="456"/>
      <c r="L6" s="399"/>
      <c r="M6" s="411"/>
      <c r="N6" s="401"/>
      <c r="O6" s="429"/>
      <c r="P6" s="457"/>
      <c r="Q6" s="456"/>
      <c r="R6" s="398"/>
      <c r="S6" s="398"/>
      <c r="T6" s="456"/>
      <c r="U6" s="398"/>
      <c r="V6" s="411"/>
      <c r="W6" s="401"/>
      <c r="X6" s="401"/>
      <c r="Y6" s="456"/>
      <c r="Z6" s="398"/>
      <c r="AA6" s="398"/>
      <c r="AB6" s="456"/>
      <c r="AC6" s="399"/>
      <c r="AD6" s="411"/>
      <c r="AE6" s="401"/>
      <c r="AF6" s="401"/>
      <c r="AG6" s="457"/>
    </row>
    <row r="7" ht="24.95" customHeight="1" spans="1:40">
      <c r="A7" s="367" t="s">
        <v>2739</v>
      </c>
      <c r="B7" s="373"/>
      <c r="C7" s="451">
        <f t="shared" ref="C7:G7" si="0">C8+C26+C39</f>
        <v>410</v>
      </c>
      <c r="D7" s="368">
        <f t="shared" si="0"/>
        <v>26027936.946</v>
      </c>
      <c r="E7" s="368">
        <f t="shared" si="0"/>
        <v>3083293.4</v>
      </c>
      <c r="F7" s="369">
        <f t="shared" si="0"/>
        <v>3321353.886</v>
      </c>
      <c r="G7" s="370" t="e">
        <f t="shared" si="0"/>
        <v>#REF!</v>
      </c>
      <c r="H7" s="371" t="e">
        <f>G7/F7</f>
        <v>#REF!</v>
      </c>
      <c r="I7" s="368">
        <f t="shared" ref="I7:K7" si="1">I8+I26+I39</f>
        <v>168</v>
      </c>
      <c r="J7" s="368" t="e">
        <f t="shared" si="1"/>
        <v>#REF!</v>
      </c>
      <c r="K7" s="368">
        <f t="shared" si="1"/>
        <v>1239981.8</v>
      </c>
      <c r="L7" s="402">
        <f>K7/F7</f>
        <v>0.37333624857824</v>
      </c>
      <c r="M7" s="368" t="e">
        <f t="shared" ref="M7:T7" si="2">M8+M26+M39</f>
        <v>#REF!</v>
      </c>
      <c r="N7" s="402" t="e">
        <f>M7/K7</f>
        <v>#REF!</v>
      </c>
      <c r="O7" s="368" t="e">
        <f t="shared" si="2"/>
        <v>#REF!</v>
      </c>
      <c r="P7" s="371" t="e">
        <f>O7/I7</f>
        <v>#REF!</v>
      </c>
      <c r="Q7" s="368">
        <f t="shared" si="2"/>
        <v>153</v>
      </c>
      <c r="R7" s="368" t="e">
        <f t="shared" si="2"/>
        <v>#REF!</v>
      </c>
      <c r="S7" s="368" t="e">
        <f t="shared" si="2"/>
        <v>#REF!</v>
      </c>
      <c r="T7" s="368">
        <f t="shared" si="2"/>
        <v>1453662</v>
      </c>
      <c r="U7" s="402">
        <f>T7/F7</f>
        <v>0.437671518872891</v>
      </c>
      <c r="V7" s="368" t="e">
        <f t="shared" ref="V7:AB7" si="3">V8+V26+V39</f>
        <v>#REF!</v>
      </c>
      <c r="W7" s="402" t="e">
        <f>V7/T7</f>
        <v>#REF!</v>
      </c>
      <c r="X7" s="368" t="e">
        <f t="shared" si="3"/>
        <v>#REF!</v>
      </c>
      <c r="Y7" s="368">
        <f t="shared" si="3"/>
        <v>89</v>
      </c>
      <c r="Z7" s="368" t="e">
        <f t="shared" si="3"/>
        <v>#REF!</v>
      </c>
      <c r="AA7" s="368" t="e">
        <f t="shared" si="3"/>
        <v>#REF!</v>
      </c>
      <c r="AB7" s="368">
        <f t="shared" si="3"/>
        <v>627710.086</v>
      </c>
      <c r="AC7" s="402">
        <f>AB7/F7</f>
        <v>0.188992232548868</v>
      </c>
      <c r="AD7" s="368" t="e">
        <f>AD8+AD26+AD39</f>
        <v>#REF!</v>
      </c>
      <c r="AE7" s="402" t="e">
        <f>AD7/AB7</f>
        <v>#REF!</v>
      </c>
      <c r="AF7" s="368" t="e">
        <f>AF8+AF26+AF39</f>
        <v>#REF!</v>
      </c>
      <c r="AG7" s="371" t="e">
        <f>AF7/Y7</f>
        <v>#REF!</v>
      </c>
      <c r="AN7" s="338"/>
    </row>
    <row r="8" ht="24.95" customHeight="1" spans="1:40">
      <c r="A8" s="372" t="s">
        <v>76</v>
      </c>
      <c r="B8" s="373" t="s">
        <v>2747</v>
      </c>
      <c r="C8" s="369">
        <f>SUM(C9:C25)-C16-C24-C19-C12-C14-C22</f>
        <v>358</v>
      </c>
      <c r="D8" s="368">
        <f t="shared" ref="D8:J8" si="4">SUM(D9:D25)-D16-D24-D19-D12-D14-D22</f>
        <v>16989167.416</v>
      </c>
      <c r="E8" s="368">
        <f t="shared" si="4"/>
        <v>2125932</v>
      </c>
      <c r="F8" s="369">
        <f t="shared" si="4"/>
        <v>2466894.886</v>
      </c>
      <c r="G8" s="370" t="e">
        <f t="shared" si="4"/>
        <v>#REF!</v>
      </c>
      <c r="H8" s="371" t="e">
        <f>G8/F8</f>
        <v>#REF!</v>
      </c>
      <c r="I8" s="368">
        <f t="shared" si="4"/>
        <v>151</v>
      </c>
      <c r="J8" s="368" t="e">
        <f t="shared" si="4"/>
        <v>#REF!</v>
      </c>
      <c r="K8" s="368">
        <f t="shared" ref="K8:S8" si="5">SUM(K9:K25)-K16-K24-K19-K12-K14-K22</f>
        <v>1071089.8</v>
      </c>
      <c r="L8" s="402">
        <f t="shared" ref="L8:L70" si="6">K8/F8</f>
        <v>0.434185423172506</v>
      </c>
      <c r="M8" s="368" t="e">
        <f t="shared" si="5"/>
        <v>#REF!</v>
      </c>
      <c r="N8" s="402" t="e">
        <f t="shared" ref="N8:N70" si="7">M8/K8</f>
        <v>#REF!</v>
      </c>
      <c r="O8" s="368" t="e">
        <f t="shared" si="5"/>
        <v>#REF!</v>
      </c>
      <c r="P8" s="371" t="e">
        <f t="shared" ref="P8:P70" si="8">O8/I8</f>
        <v>#REF!</v>
      </c>
      <c r="Q8" s="368">
        <f t="shared" si="5"/>
        <v>131</v>
      </c>
      <c r="R8" s="368" t="e">
        <f t="shared" si="5"/>
        <v>#REF!</v>
      </c>
      <c r="S8" s="368" t="e">
        <f t="shared" si="5"/>
        <v>#REF!</v>
      </c>
      <c r="T8" s="368">
        <f t="shared" ref="T8:AB8" si="9">SUM(T9:T25)-T16-T24-T19-T12-T14-T22</f>
        <v>970891</v>
      </c>
      <c r="U8" s="402">
        <f t="shared" ref="U8:U70" si="10">T8/F8</f>
        <v>0.393568046011994</v>
      </c>
      <c r="V8" s="368" t="e">
        <f t="shared" si="9"/>
        <v>#REF!</v>
      </c>
      <c r="W8" s="402" t="e">
        <f t="shared" ref="W8:W70" si="11">V8/T8</f>
        <v>#REF!</v>
      </c>
      <c r="X8" s="368" t="e">
        <f t="shared" si="9"/>
        <v>#REF!</v>
      </c>
      <c r="Y8" s="368">
        <f t="shared" si="9"/>
        <v>76</v>
      </c>
      <c r="Z8" s="368" t="e">
        <f t="shared" si="9"/>
        <v>#REF!</v>
      </c>
      <c r="AA8" s="368" t="e">
        <f t="shared" si="9"/>
        <v>#REF!</v>
      </c>
      <c r="AB8" s="368">
        <f t="shared" si="9"/>
        <v>424914.086</v>
      </c>
      <c r="AC8" s="402">
        <f t="shared" ref="AC8:AC70" si="12">AB8/F8</f>
        <v>0.172246530815501</v>
      </c>
      <c r="AD8" s="368" t="e">
        <f>SUM(AD9:AD25)-AD16-AD24-AD19-AD12-AD14-AD22</f>
        <v>#REF!</v>
      </c>
      <c r="AE8" s="402" t="e">
        <f t="shared" ref="AE8:AE70" si="13">AD8/AB8</f>
        <v>#REF!</v>
      </c>
      <c r="AF8" s="368" t="e">
        <f>SUM(AF9:AF25)-AF16-AF24-AF19-AF12-AF14-AF22</f>
        <v>#REF!</v>
      </c>
      <c r="AG8" s="371" t="e">
        <f t="shared" ref="AG8:AG70" si="14">AF8/Y8</f>
        <v>#REF!</v>
      </c>
      <c r="AN8" s="338"/>
    </row>
    <row r="9" s="334" customFormat="1" ht="24.95" customHeight="1" spans="1:40">
      <c r="A9" s="374">
        <v>1</v>
      </c>
      <c r="B9" s="375" t="s">
        <v>269</v>
      </c>
      <c r="C9" s="379">
        <f t="shared" ref="C9:D15" si="15">I9+Q9+Y9</f>
        <v>68</v>
      </c>
      <c r="D9" s="376">
        <f t="shared" si="15"/>
        <v>2068430</v>
      </c>
      <c r="E9" s="376">
        <f>S9+AA9</f>
        <v>199958</v>
      </c>
      <c r="F9" s="379">
        <f t="shared" ref="F9:F11" si="16">K9+T9+AB9</f>
        <v>402723</v>
      </c>
      <c r="G9" s="377">
        <f>M9+V9+AD9</f>
        <v>0</v>
      </c>
      <c r="H9" s="371">
        <f t="shared" ref="H9:H70" si="17">G9/F9</f>
        <v>0</v>
      </c>
      <c r="I9" s="376">
        <f>COUNTIF(开!$AU$8:$AU$213,B9)</f>
        <v>43</v>
      </c>
      <c r="J9" s="376">
        <f>SUMIF(开!$AU$8:$AU$213,B9,开!$F$8:$F$213)</f>
        <v>1558961</v>
      </c>
      <c r="K9" s="376">
        <f>SUMIF(开!$AU$8:$AU$213,B9,开!$L$8:$L$213)</f>
        <v>225922</v>
      </c>
      <c r="L9" s="402">
        <f t="shared" si="6"/>
        <v>0.560986087211309</v>
      </c>
      <c r="M9" s="376">
        <f>SUMIF(开!$AU$8:$AU$213,B9,开!$P$8:$P$213)</f>
        <v>0</v>
      </c>
      <c r="N9" s="402">
        <f t="shared" si="7"/>
        <v>0</v>
      </c>
      <c r="O9" s="376">
        <f>SUMIF(开!$AU$8:$AU$213,B9,开!$BO$8:$BO$213)</f>
        <v>0</v>
      </c>
      <c r="P9" s="371">
        <f t="shared" si="8"/>
        <v>0</v>
      </c>
      <c r="Q9" s="376">
        <f>COUNTIF('续 '!AM$8:AM$198,B9)</f>
        <v>13</v>
      </c>
      <c r="R9" s="376">
        <f>SUMIF('续 '!AM$8:AM$198,B9,'续 '!$F$8:$F$198)</f>
        <v>295730</v>
      </c>
      <c r="S9" s="376">
        <f>SUMIF('续 '!AM$8:AM$198,B9,'续 '!$G$8:$G$198)</f>
        <v>88520</v>
      </c>
      <c r="T9" s="376">
        <f>SUMIF('续 '!AM$8:AM$198,B9,'续 '!$L$8:$L$198)</f>
        <v>75500</v>
      </c>
      <c r="U9" s="402">
        <f t="shared" si="10"/>
        <v>0.187473772295101</v>
      </c>
      <c r="V9" s="376">
        <f>SUMIF('续 '!AM$8:AM$198,B9,'续 '!$O$8:$O$198)</f>
        <v>0</v>
      </c>
      <c r="W9" s="402">
        <f t="shared" si="11"/>
        <v>0</v>
      </c>
      <c r="X9" s="376">
        <f>SUMIF('续 '!AM$8:AM$198,B9,'续 '!$BJ$8:$BJ$198)</f>
        <v>0</v>
      </c>
      <c r="Y9" s="376">
        <f>COUNTIF(竣!AM$8:AM$130,B9)</f>
        <v>12</v>
      </c>
      <c r="Z9" s="376">
        <f>SUMIF(竣!AM$8:AM$130,B9,竣!$F$8:$F$130)</f>
        <v>213739</v>
      </c>
      <c r="AA9" s="376">
        <f>SUMIF(竣!AM$8:AM$130,B9,竣!$G$8:$G$130)</f>
        <v>111438</v>
      </c>
      <c r="AB9" s="376">
        <f>SUMIF(竣!AM$8:AM$130,B9,竣!$L$8:$L$130)</f>
        <v>101301</v>
      </c>
      <c r="AC9" s="402">
        <f t="shared" si="12"/>
        <v>0.25154014049359</v>
      </c>
      <c r="AD9" s="376">
        <f>SUMIF(竣!AM$8:AM$130,B9,竣!$O$8:$O$130)</f>
        <v>0</v>
      </c>
      <c r="AE9" s="402">
        <f t="shared" si="13"/>
        <v>0</v>
      </c>
      <c r="AF9" s="376">
        <f>SUMIF(竣!AM$8:AM$130,B9,竣!$BK$8:$BK$130)</f>
        <v>0</v>
      </c>
      <c r="AG9" s="371">
        <f t="shared" si="14"/>
        <v>0</v>
      </c>
      <c r="AH9" s="438"/>
      <c r="AI9" s="438"/>
      <c r="AJ9" s="438"/>
      <c r="AK9" s="438"/>
      <c r="AM9" s="335"/>
      <c r="AN9" s="338"/>
    </row>
    <row r="10" s="334" customFormat="1" ht="24.95" customHeight="1" spans="1:40">
      <c r="A10" s="374">
        <v>2</v>
      </c>
      <c r="B10" s="375" t="s">
        <v>317</v>
      </c>
      <c r="C10" s="379">
        <f t="shared" si="15"/>
        <v>51</v>
      </c>
      <c r="D10" s="376">
        <f t="shared" si="15"/>
        <v>983660</v>
      </c>
      <c r="E10" s="376">
        <f t="shared" ref="E10:E25" si="18">S10+AA10</f>
        <v>176386</v>
      </c>
      <c r="F10" s="379">
        <f t="shared" si="16"/>
        <v>217765</v>
      </c>
      <c r="G10" s="377">
        <f t="shared" ref="G10:G70" si="19">M10+V10+AD10</f>
        <v>0</v>
      </c>
      <c r="H10" s="371">
        <f t="shared" si="17"/>
        <v>0</v>
      </c>
      <c r="I10" s="376">
        <f>COUNTIF(开!$AU$8:$AU$213,B10)</f>
        <v>14</v>
      </c>
      <c r="J10" s="376">
        <f>SUMIF(开!$AU$8:$AU$213,B10,开!$F$8:$F$213)</f>
        <v>179798</v>
      </c>
      <c r="K10" s="376">
        <f>SUMIF(开!$AU$8:$AU$213,B10,开!$L$8:$L$213)</f>
        <v>44100</v>
      </c>
      <c r="L10" s="402">
        <f t="shared" si="6"/>
        <v>0.202511882074714</v>
      </c>
      <c r="M10" s="376">
        <f>SUMIF(开!$AU$8:$AU$213,B10,开!$P$8:$P$213)</f>
        <v>0</v>
      </c>
      <c r="N10" s="402">
        <f t="shared" si="7"/>
        <v>0</v>
      </c>
      <c r="O10" s="376">
        <f>SUMIF(开!$AU$8:$AU$213,B10,开!$BO$8:$BO$213)</f>
        <v>0</v>
      </c>
      <c r="P10" s="371">
        <f t="shared" si="8"/>
        <v>0</v>
      </c>
      <c r="Q10" s="376">
        <f>COUNTIF('续 '!AM$8:AM$198,B10)</f>
        <v>26</v>
      </c>
      <c r="R10" s="376">
        <f>SUMIF('续 '!AM$8:AM$198,B10,'续 '!$F$8:$F$198)</f>
        <v>716277</v>
      </c>
      <c r="S10" s="376">
        <f>SUMIF('续 '!AM$8:AM$198,B10,'续 '!$G$8:$G$198)</f>
        <v>136466</v>
      </c>
      <c r="T10" s="376">
        <f>SUMIF('续 '!AM$8:AM$198,B10,'续 '!$L$8:$L$198)</f>
        <v>126000</v>
      </c>
      <c r="U10" s="402">
        <f t="shared" si="10"/>
        <v>0.578605377356324</v>
      </c>
      <c r="V10" s="376">
        <f>SUMIF('续 '!AM$8:AM$198,B10,'续 '!$O$8:$O$198)</f>
        <v>0</v>
      </c>
      <c r="W10" s="402">
        <f t="shared" si="11"/>
        <v>0</v>
      </c>
      <c r="X10" s="376">
        <f>SUMIF('续 '!AM$8:AM$198,B10,'续 '!$BJ$8:$BJ$198)</f>
        <v>0</v>
      </c>
      <c r="Y10" s="376">
        <f>COUNTIF(竣!AM$8:AM$130,B10)</f>
        <v>11</v>
      </c>
      <c r="Z10" s="376">
        <f>SUMIF(竣!AM$8:AM$130,B10,竣!$F$8:$F$130)</f>
        <v>87585</v>
      </c>
      <c r="AA10" s="376">
        <f>SUMIF(竣!AM$8:AM$130,B10,竣!$G$8:$G$130)</f>
        <v>39920</v>
      </c>
      <c r="AB10" s="376">
        <f>SUMIF(竣!AM$8:AM$130,B10,竣!$L$8:$L$130)</f>
        <v>47665</v>
      </c>
      <c r="AC10" s="402">
        <f t="shared" si="12"/>
        <v>0.218882740568962</v>
      </c>
      <c r="AD10" s="376">
        <f>SUMIF(竣!AM$8:AM$130,B10,竣!$O$8:$O$130)</f>
        <v>0</v>
      </c>
      <c r="AE10" s="402">
        <f t="shared" si="13"/>
        <v>0</v>
      </c>
      <c r="AF10" s="376">
        <f>SUMIF(竣!AM$8:AM$130,B10,竣!$BK$8:$BK$130)</f>
        <v>0</v>
      </c>
      <c r="AG10" s="371">
        <f t="shared" si="14"/>
        <v>0</v>
      </c>
      <c r="AH10" s="438"/>
      <c r="AI10" s="438"/>
      <c r="AJ10" s="438"/>
      <c r="AK10" s="438"/>
      <c r="AM10" s="335"/>
      <c r="AN10" s="338"/>
    </row>
    <row r="11" s="334" customFormat="1" ht="24.95" customHeight="1" spans="1:40">
      <c r="A11" s="374">
        <v>3</v>
      </c>
      <c r="B11" s="375" t="s">
        <v>359</v>
      </c>
      <c r="C11" s="379">
        <f t="shared" si="15"/>
        <v>43</v>
      </c>
      <c r="D11" s="376">
        <f t="shared" si="15"/>
        <v>1065185.02</v>
      </c>
      <c r="E11" s="376">
        <f t="shared" si="18"/>
        <v>268144</v>
      </c>
      <c r="F11" s="379">
        <f t="shared" si="16"/>
        <v>159868.8</v>
      </c>
      <c r="G11" s="377">
        <f t="shared" si="19"/>
        <v>0</v>
      </c>
      <c r="H11" s="371">
        <f t="shared" si="17"/>
        <v>0</v>
      </c>
      <c r="I11" s="376">
        <f>COUNTIF(开!$AU$8:$AU$213,B11)</f>
        <v>19</v>
      </c>
      <c r="J11" s="376">
        <f>SUMIF(开!$AU$8:$AU$213,B11,开!$F$8:$F$213)</f>
        <v>330287.02</v>
      </c>
      <c r="K11" s="376">
        <f>SUMIF(开!$AU$8:$AU$213,B11,开!$L$8:$L$213)</f>
        <v>56540.8</v>
      </c>
      <c r="L11" s="402">
        <f t="shared" si="6"/>
        <v>0.353670009407714</v>
      </c>
      <c r="M11" s="376">
        <f>SUMIF(开!$AU$8:$AU$213,B11,开!$P$8:$P$213)</f>
        <v>0</v>
      </c>
      <c r="N11" s="402">
        <f t="shared" si="7"/>
        <v>0</v>
      </c>
      <c r="O11" s="376">
        <f>SUMIF(开!$AU$8:$AU$213,B11,开!$BO$8:$BO$213)</f>
        <v>0</v>
      </c>
      <c r="P11" s="371">
        <f t="shared" si="8"/>
        <v>0</v>
      </c>
      <c r="Q11" s="376">
        <f>COUNTIF('续 '!AM$8:AM$198,B11)</f>
        <v>16</v>
      </c>
      <c r="R11" s="376">
        <f>SUMIF('续 '!AM$8:AM$198,B11,'续 '!$F$8:$F$198)</f>
        <v>632990</v>
      </c>
      <c r="S11" s="376">
        <f>SUMIF('续 '!AM$8:AM$198,B11,'续 '!$G$8:$G$198)</f>
        <v>184699</v>
      </c>
      <c r="T11" s="376">
        <f>SUMIF('续 '!AM$8:AM$198,B11,'续 '!$L$8:$L$198)</f>
        <v>84865</v>
      </c>
      <c r="U11" s="402">
        <f t="shared" si="10"/>
        <v>0.530841540062852</v>
      </c>
      <c r="V11" s="376">
        <f>SUMIF('续 '!AM$8:AM$198,B11,'续 '!$O$8:$O$198)</f>
        <v>0</v>
      </c>
      <c r="W11" s="402">
        <f t="shared" si="11"/>
        <v>0</v>
      </c>
      <c r="X11" s="376">
        <f>SUMIF('续 '!AM$8:AM$198,B11,'续 '!$BJ$8:$BJ$198)</f>
        <v>0</v>
      </c>
      <c r="Y11" s="376">
        <f>COUNTIF(竣!AM$8:AM$130,B11)</f>
        <v>8</v>
      </c>
      <c r="Z11" s="376">
        <f>SUMIF(竣!AM$8:AM$130,B11,竣!$F$8:$F$130)</f>
        <v>101908</v>
      </c>
      <c r="AA11" s="376">
        <f>SUMIF(竣!AM$8:AM$130,B11,竣!$G$8:$G$130)</f>
        <v>83445</v>
      </c>
      <c r="AB11" s="376">
        <f>SUMIF(竣!AM$8:AM$130,B11,竣!$L$8:$L$130)</f>
        <v>18463</v>
      </c>
      <c r="AC11" s="402">
        <f t="shared" si="12"/>
        <v>0.115488450529434</v>
      </c>
      <c r="AD11" s="376">
        <f>SUMIF(竣!AM$8:AM$130,B11,竣!$O$8:$O$130)</f>
        <v>0</v>
      </c>
      <c r="AE11" s="402">
        <f t="shared" si="13"/>
        <v>0</v>
      </c>
      <c r="AF11" s="376">
        <f>SUMIF(竣!AM$8:AM$130,B11,竣!$BK$8:$BK$130)</f>
        <v>0</v>
      </c>
      <c r="AG11" s="371">
        <f t="shared" si="14"/>
        <v>0</v>
      </c>
      <c r="AH11" s="438"/>
      <c r="AI11" s="438"/>
      <c r="AJ11" s="438"/>
      <c r="AK11" s="438"/>
      <c r="AM11" s="335"/>
      <c r="AN11" s="338"/>
    </row>
    <row r="12" s="334" customFormat="1" ht="24.95" customHeight="1" spans="1:40">
      <c r="A12" s="374"/>
      <c r="B12" s="375" t="s">
        <v>2748</v>
      </c>
      <c r="C12" s="379">
        <f t="shared" ref="C12:F12" si="20">C11+C27+C28+C29+C30+C31+C32</f>
        <v>46</v>
      </c>
      <c r="D12" s="376">
        <f t="shared" si="20"/>
        <v>1170850.02</v>
      </c>
      <c r="E12" s="376">
        <f t="shared" si="20"/>
        <v>285149</v>
      </c>
      <c r="F12" s="379">
        <f t="shared" si="20"/>
        <v>215228.8</v>
      </c>
      <c r="G12" s="377" t="e">
        <f>G11+G27+G28+G29+G30+G31+G32+#REF!</f>
        <v>#REF!</v>
      </c>
      <c r="H12" s="371" t="e">
        <f t="shared" si="17"/>
        <v>#REF!</v>
      </c>
      <c r="I12" s="376">
        <f>I11+I27+I28+I29+I30+I31+I32</f>
        <v>20</v>
      </c>
      <c r="J12" s="376" t="e">
        <f>J11+J27+J28+J29+J30+J31+J32+#REF!</f>
        <v>#REF!</v>
      </c>
      <c r="K12" s="376">
        <f>K11+K27+K28+K29+K30+K31+K32</f>
        <v>65740.8</v>
      </c>
      <c r="L12" s="402">
        <f t="shared" si="6"/>
        <v>0.30544611130109</v>
      </c>
      <c r="M12" s="376" t="e">
        <f>M11+M27+M28+M29+M30+M31+M32+#REF!</f>
        <v>#REF!</v>
      </c>
      <c r="N12" s="402" t="e">
        <f t="shared" si="7"/>
        <v>#REF!</v>
      </c>
      <c r="O12" s="376" t="e">
        <f>O11+O27+O28+O29+O30+O31+O32+#REF!</f>
        <v>#REF!</v>
      </c>
      <c r="P12" s="371" t="e">
        <f t="shared" si="8"/>
        <v>#REF!</v>
      </c>
      <c r="Q12" s="376">
        <f>Q11+Q27+Q28+Q29+Q30+Q31+Q32</f>
        <v>17</v>
      </c>
      <c r="R12" s="376" t="e">
        <f>R11+R27+R28+R29+R30+R31+R32+#REF!</f>
        <v>#REF!</v>
      </c>
      <c r="S12" s="376" t="e">
        <f>S11+S27+S28+S29+S30+S31+S32+#REF!</f>
        <v>#REF!</v>
      </c>
      <c r="T12" s="376">
        <f>T11+T27+T28+T29+T30+T31+T32</f>
        <v>124865</v>
      </c>
      <c r="U12" s="402">
        <f t="shared" si="10"/>
        <v>0.58015005426783</v>
      </c>
      <c r="V12" s="376" t="e">
        <f>V11+V27+V28+V29+V30+V31+V32+#REF!</f>
        <v>#REF!</v>
      </c>
      <c r="W12" s="402" t="e">
        <f t="shared" si="11"/>
        <v>#REF!</v>
      </c>
      <c r="X12" s="376" t="e">
        <f>X11+X27+X28+X29+X30+X31+X32+#REF!</f>
        <v>#REF!</v>
      </c>
      <c r="Y12" s="376">
        <f>Y11+Y27+Y28+Y29+Y30+Y31+Y32</f>
        <v>9</v>
      </c>
      <c r="Z12" s="376" t="e">
        <f>Z11+Z27+Z28+Z29+Z30+Z31+Z32+#REF!</f>
        <v>#REF!</v>
      </c>
      <c r="AA12" s="376" t="e">
        <f>AA11+AA27+AA28+AA29+AA30+AA31+AA32+#REF!</f>
        <v>#REF!</v>
      </c>
      <c r="AB12" s="376">
        <f>AB11+AB27+AB28+AB29+AB30+AB31+AB32</f>
        <v>24623</v>
      </c>
      <c r="AC12" s="402">
        <f t="shared" si="12"/>
        <v>0.11440383443108</v>
      </c>
      <c r="AD12" s="376" t="e">
        <f>AD11+AD27+AD28+AD29+AD30+AD31+AD32+#REF!</f>
        <v>#REF!</v>
      </c>
      <c r="AE12" s="402" t="e">
        <f t="shared" si="13"/>
        <v>#REF!</v>
      </c>
      <c r="AF12" s="376" t="e">
        <f>AF11+AF27+AF28+AF29+AF30+AF31+AF32+#REF!</f>
        <v>#REF!</v>
      </c>
      <c r="AG12" s="371" t="e">
        <f t="shared" si="14"/>
        <v>#REF!</v>
      </c>
      <c r="AH12" s="438"/>
      <c r="AI12" s="438"/>
      <c r="AJ12" s="438"/>
      <c r="AK12" s="438"/>
      <c r="AM12" s="335"/>
      <c r="AN12" s="338"/>
    </row>
    <row r="13" s="334" customFormat="1" ht="24.95" customHeight="1" spans="1:40">
      <c r="A13" s="374">
        <v>4</v>
      </c>
      <c r="B13" s="375" t="s">
        <v>375</v>
      </c>
      <c r="C13" s="379">
        <f t="shared" si="15"/>
        <v>58</v>
      </c>
      <c r="D13" s="376">
        <f t="shared" si="15"/>
        <v>1628117.99</v>
      </c>
      <c r="E13" s="376">
        <f t="shared" si="18"/>
        <v>213047</v>
      </c>
      <c r="F13" s="379">
        <f t="shared" ref="F13:F18" si="21">K13+T13+AB13</f>
        <v>288894</v>
      </c>
      <c r="G13" s="377">
        <f t="shared" si="19"/>
        <v>0</v>
      </c>
      <c r="H13" s="371">
        <f t="shared" si="17"/>
        <v>0</v>
      </c>
      <c r="I13" s="376">
        <f>COUNTIF(开!$AU$8:$AU$213,B13)</f>
        <v>21</v>
      </c>
      <c r="J13" s="376">
        <f>SUMIF(开!$AU$8:$AU$213,B13,开!$F$8:$F$213)</f>
        <v>498164.37</v>
      </c>
      <c r="K13" s="376">
        <f>SUMIF(开!$AU$8:$AU$213,B13,开!$L$8:$L$213)</f>
        <v>85200</v>
      </c>
      <c r="L13" s="402">
        <f t="shared" si="6"/>
        <v>0.294917859145569</v>
      </c>
      <c r="M13" s="376">
        <f>SUMIF(开!$AU$8:$AU$213,B13,开!$P$8:$P$213)</f>
        <v>0</v>
      </c>
      <c r="N13" s="402">
        <f t="shared" si="7"/>
        <v>0</v>
      </c>
      <c r="O13" s="376">
        <f>SUMIF(开!$AU$8:$AU$213,B13,开!$BO$8:$BO$213)</f>
        <v>0</v>
      </c>
      <c r="P13" s="371">
        <f t="shared" si="8"/>
        <v>0</v>
      </c>
      <c r="Q13" s="376">
        <f>COUNTIF('续 '!AM$8:AM$198,B13)</f>
        <v>20</v>
      </c>
      <c r="R13" s="376">
        <f>SUMIF('续 '!AM$8:AM$198,B13,'续 '!$F$8:$F$198)</f>
        <v>893892.6</v>
      </c>
      <c r="S13" s="376">
        <f>SUMIF('续 '!AM$8:AM$198,B13,'续 '!$G$8:$G$198)</f>
        <v>82206</v>
      </c>
      <c r="T13" s="376">
        <f>SUMIF('续 '!AM$8:AM$198,B13,'续 '!$L$8:$L$198)</f>
        <v>101500</v>
      </c>
      <c r="U13" s="402">
        <f t="shared" si="10"/>
        <v>0.351339937831869</v>
      </c>
      <c r="V13" s="376">
        <f>SUMIF('续 '!AM$8:AM$198,B13,'续 '!$O$8:$O$198)</f>
        <v>0</v>
      </c>
      <c r="W13" s="402">
        <f t="shared" si="11"/>
        <v>0</v>
      </c>
      <c r="X13" s="376">
        <f>SUMIF('续 '!AM$8:AM$198,B13,'续 '!$BJ$8:$BJ$198)</f>
        <v>0</v>
      </c>
      <c r="Y13" s="376">
        <f>COUNTIF(竣!AM$8:AM$130,B13)</f>
        <v>17</v>
      </c>
      <c r="Z13" s="376">
        <f>SUMIF(竣!AM$8:AM$130,B13,竣!$F$8:$F$130)</f>
        <v>236061.02</v>
      </c>
      <c r="AA13" s="376">
        <f>SUMIF(竣!AM$8:AM$130,B13,竣!$G$8:$G$130)</f>
        <v>130841</v>
      </c>
      <c r="AB13" s="376">
        <f>SUMIF(竣!AM$8:AM$130,B13,竣!$L$8:$L$130)</f>
        <v>102194</v>
      </c>
      <c r="AC13" s="402">
        <f t="shared" si="12"/>
        <v>0.353742203022562</v>
      </c>
      <c r="AD13" s="376">
        <f>SUMIF(竣!AM$8:AM$130,B13,竣!$O$8:$O$130)</f>
        <v>0</v>
      </c>
      <c r="AE13" s="402">
        <f t="shared" si="13"/>
        <v>0</v>
      </c>
      <c r="AF13" s="376">
        <f>SUMIF(竣!AM$8:AM$130,B13,竣!$BK$8:$BK$130)</f>
        <v>0</v>
      </c>
      <c r="AG13" s="371">
        <f t="shared" si="14"/>
        <v>0</v>
      </c>
      <c r="AH13" s="465"/>
      <c r="AI13" s="438"/>
      <c r="AJ13" s="438"/>
      <c r="AK13" s="438"/>
      <c r="AM13" s="335"/>
      <c r="AN13" s="338"/>
    </row>
    <row r="14" s="334" customFormat="1" ht="24.95" customHeight="1" spans="1:40">
      <c r="A14" s="374"/>
      <c r="B14" s="375" t="s">
        <v>2749</v>
      </c>
      <c r="C14" s="379">
        <f t="shared" ref="C14:F14" si="22">C13+C27+C29+C31+C33</f>
        <v>61</v>
      </c>
      <c r="D14" s="376">
        <f t="shared" si="22"/>
        <v>1733782.99</v>
      </c>
      <c r="E14" s="376">
        <f t="shared" si="22"/>
        <v>230052</v>
      </c>
      <c r="F14" s="379">
        <f t="shared" si="22"/>
        <v>344254</v>
      </c>
      <c r="G14" s="377" t="e">
        <f>G13+G27+G29+#REF!+G31+G33+#REF!</f>
        <v>#REF!</v>
      </c>
      <c r="H14" s="371" t="e">
        <f t="shared" si="17"/>
        <v>#REF!</v>
      </c>
      <c r="I14" s="376">
        <f>I13+I27+I29+I31+I33</f>
        <v>22</v>
      </c>
      <c r="J14" s="376" t="e">
        <f>J13+J27+J29+#REF!+J31+J33+#REF!</f>
        <v>#REF!</v>
      </c>
      <c r="K14" s="376">
        <f>K13+K27+K29+K31+K33</f>
        <v>94400</v>
      </c>
      <c r="L14" s="402">
        <f t="shared" si="6"/>
        <v>0.274216131112493</v>
      </c>
      <c r="M14" s="376" t="e">
        <f>M13+M27+M29+#REF!+M31+M33+#REF!</f>
        <v>#REF!</v>
      </c>
      <c r="N14" s="402" t="e">
        <f t="shared" si="7"/>
        <v>#REF!</v>
      </c>
      <c r="O14" s="376" t="e">
        <f>O13+O27+O29+#REF!+O31+O33+#REF!</f>
        <v>#REF!</v>
      </c>
      <c r="P14" s="371" t="e">
        <f t="shared" si="8"/>
        <v>#REF!</v>
      </c>
      <c r="Q14" s="376">
        <f>Q13+Q27+Q29+Q31+Q33</f>
        <v>21</v>
      </c>
      <c r="R14" s="376" t="e">
        <f>R13+R27+R29+#REF!+R31+R33+#REF!</f>
        <v>#REF!</v>
      </c>
      <c r="S14" s="376" t="e">
        <f>S13+S27+S29+#REF!+S31+S33+#REF!</f>
        <v>#REF!</v>
      </c>
      <c r="T14" s="376">
        <f>T13+T27+T29+T31+T33</f>
        <v>141500</v>
      </c>
      <c r="U14" s="402">
        <f t="shared" si="10"/>
        <v>0.411033713479001</v>
      </c>
      <c r="V14" s="376" t="e">
        <f>V13+V27+V29+#REF!+V31+V33+#REF!</f>
        <v>#REF!</v>
      </c>
      <c r="W14" s="402" t="e">
        <f t="shared" si="11"/>
        <v>#REF!</v>
      </c>
      <c r="X14" s="376" t="e">
        <f>X13+X27+X29+#REF!+X31+X33+#REF!</f>
        <v>#REF!</v>
      </c>
      <c r="Y14" s="376">
        <f>Y13+Y27+Y29+Y31+Y33</f>
        <v>18</v>
      </c>
      <c r="Z14" s="376" t="e">
        <f>Z13+Z27+Z29+#REF!+Z31+Z33+#REF!</f>
        <v>#REF!</v>
      </c>
      <c r="AA14" s="376" t="e">
        <f>AA13+AA27+AA29+#REF!+AA31+AA33+#REF!</f>
        <v>#REF!</v>
      </c>
      <c r="AB14" s="376">
        <f>AB13+AB27+AB29+AB31+AB33</f>
        <v>108354</v>
      </c>
      <c r="AC14" s="402">
        <f t="shared" si="12"/>
        <v>0.314750155408506</v>
      </c>
      <c r="AD14" s="376" t="e">
        <f>AD13+AD27+AD29+#REF!+AD31+AD33+#REF!</f>
        <v>#REF!</v>
      </c>
      <c r="AE14" s="402" t="e">
        <f t="shared" si="13"/>
        <v>#REF!</v>
      </c>
      <c r="AF14" s="376" t="e">
        <f>AF13+AF27+AF29+#REF!+AF31+AF33+#REF!</f>
        <v>#REF!</v>
      </c>
      <c r="AG14" s="371" t="e">
        <f t="shared" si="14"/>
        <v>#REF!</v>
      </c>
      <c r="AH14" s="438"/>
      <c r="AI14" s="438"/>
      <c r="AJ14" s="438"/>
      <c r="AK14" s="438"/>
      <c r="AM14" s="335"/>
      <c r="AN14" s="338"/>
    </row>
    <row r="15" s="334" customFormat="1" ht="24.95" customHeight="1" spans="1:40">
      <c r="A15" s="374">
        <v>5</v>
      </c>
      <c r="B15" s="375" t="s">
        <v>119</v>
      </c>
      <c r="C15" s="379">
        <f t="shared" si="15"/>
        <v>25</v>
      </c>
      <c r="D15" s="376">
        <f t="shared" si="15"/>
        <v>3300874.086</v>
      </c>
      <c r="E15" s="376">
        <f t="shared" si="18"/>
        <v>365582</v>
      </c>
      <c r="F15" s="379">
        <f t="shared" si="21"/>
        <v>444408.086</v>
      </c>
      <c r="G15" s="377">
        <f t="shared" si="19"/>
        <v>0</v>
      </c>
      <c r="H15" s="371">
        <f t="shared" si="17"/>
        <v>0</v>
      </c>
      <c r="I15" s="376">
        <f>COUNTIF(开!$AU$8:$AU$213,B15)</f>
        <v>16</v>
      </c>
      <c r="J15" s="376">
        <f>SUMIF(开!$AU$8:$AU$213,B15,开!$F$8:$F$213)</f>
        <v>1753724</v>
      </c>
      <c r="K15" s="376">
        <f>SUMIF(开!$AU$8:$AU$213,B15,开!$L$8:$L$213)</f>
        <v>151500</v>
      </c>
      <c r="L15" s="402">
        <f t="shared" si="6"/>
        <v>0.340902888072113</v>
      </c>
      <c r="M15" s="376">
        <f>SUMIF(开!$AU$8:$AU$213,B15,开!$P$8:$P$213)</f>
        <v>0</v>
      </c>
      <c r="N15" s="402">
        <f t="shared" si="7"/>
        <v>0</v>
      </c>
      <c r="O15" s="376">
        <f>SUMIF(开!$AU$8:$AU$213,B15,开!$BO$8:$BO$213)</f>
        <v>0</v>
      </c>
      <c r="P15" s="371">
        <f t="shared" si="8"/>
        <v>0</v>
      </c>
      <c r="Q15" s="376">
        <f>COUNTIF('续 '!AM$8:AM$198,B15)</f>
        <v>5</v>
      </c>
      <c r="R15" s="376">
        <f>SUMIF('续 '!AM$8:AM$198,B15,'续 '!$F$8:$F$198)</f>
        <v>1366304</v>
      </c>
      <c r="S15" s="376">
        <f>SUMIF('续 '!AM$8:AM$198,B15,'续 '!$G$8:$G$198)</f>
        <v>202644</v>
      </c>
      <c r="T15" s="376">
        <f>SUMIF('续 '!AM$8:AM$198,B15,'续 '!$L$8:$L$198)</f>
        <v>275000</v>
      </c>
      <c r="U15" s="402">
        <f t="shared" si="10"/>
        <v>0.618800621913076</v>
      </c>
      <c r="V15" s="376">
        <f>SUMIF('续 '!AM$8:AM$198,B15,'续 '!$O$8:$O$198)</f>
        <v>0</v>
      </c>
      <c r="W15" s="402">
        <f t="shared" si="11"/>
        <v>0</v>
      </c>
      <c r="X15" s="376">
        <f>SUMIF('续 '!AM$8:AM$198,B15,'续 '!$BJ$8:$BJ$198)</f>
        <v>0</v>
      </c>
      <c r="Y15" s="376">
        <f>COUNTIF(竣!AM$8:AM$130,B15)</f>
        <v>4</v>
      </c>
      <c r="Z15" s="376">
        <f>SUMIF(竣!AM$8:AM$130,B15,竣!$F$8:$F$130)</f>
        <v>180846.086</v>
      </c>
      <c r="AA15" s="376">
        <f>SUMIF(竣!AM$8:AM$130,B15,竣!$G$8:$G$130)</f>
        <v>162938</v>
      </c>
      <c r="AB15" s="376">
        <f>SUMIF(竣!AM$8:AM$130,B15,竣!$L$8:$L$130)</f>
        <v>17908.086</v>
      </c>
      <c r="AC15" s="402">
        <f t="shared" si="12"/>
        <v>0.0402964900148104</v>
      </c>
      <c r="AD15" s="376">
        <f>SUMIF(竣!AM$8:AM$130,B15,竣!$O$8:$O$130)</f>
        <v>0</v>
      </c>
      <c r="AE15" s="402">
        <f t="shared" si="13"/>
        <v>0</v>
      </c>
      <c r="AF15" s="376">
        <f>SUMIF(竣!AM$8:AM$130,B15,竣!$BK$8:$BK$130)</f>
        <v>0</v>
      </c>
      <c r="AG15" s="371">
        <f t="shared" si="14"/>
        <v>0</v>
      </c>
      <c r="AH15" s="438"/>
      <c r="AI15" s="438"/>
      <c r="AJ15" s="438"/>
      <c r="AK15" s="438"/>
      <c r="AM15" s="335"/>
      <c r="AN15" s="338"/>
    </row>
    <row r="16" s="334" customFormat="1" ht="30" customHeight="1" spans="1:40">
      <c r="A16" s="374"/>
      <c r="B16" s="375" t="s">
        <v>2750</v>
      </c>
      <c r="C16" s="379">
        <f>C15+C29+C34+C35+C36</f>
        <v>34</v>
      </c>
      <c r="D16" s="379">
        <f t="shared" ref="D16:AB16" si="23">D15+D29+D34+D35+D36</f>
        <v>9454228.086</v>
      </c>
      <c r="E16" s="379">
        <f t="shared" si="23"/>
        <v>550256</v>
      </c>
      <c r="F16" s="379">
        <f t="shared" si="23"/>
        <v>658777.086</v>
      </c>
      <c r="G16" s="379">
        <f t="shared" si="23"/>
        <v>0</v>
      </c>
      <c r="H16" s="379">
        <f t="shared" si="23"/>
        <v>0</v>
      </c>
      <c r="I16" s="379">
        <f t="shared" si="23"/>
        <v>21</v>
      </c>
      <c r="J16" s="379">
        <f t="shared" si="23"/>
        <v>7468594</v>
      </c>
      <c r="K16" s="379">
        <f t="shared" si="23"/>
        <v>256500</v>
      </c>
      <c r="L16" s="379">
        <f t="shared" si="23"/>
        <v>2.46689666397958</v>
      </c>
      <c r="M16" s="379">
        <f t="shared" si="23"/>
        <v>0</v>
      </c>
      <c r="N16" s="379" t="e">
        <f t="shared" si="23"/>
        <v>#DIV/0!</v>
      </c>
      <c r="O16" s="379">
        <f t="shared" si="23"/>
        <v>0</v>
      </c>
      <c r="P16" s="379" t="e">
        <f t="shared" si="23"/>
        <v>#DIV/0!</v>
      </c>
      <c r="Q16" s="379">
        <f t="shared" si="23"/>
        <v>8</v>
      </c>
      <c r="R16" s="379">
        <f t="shared" si="23"/>
        <v>1626787</v>
      </c>
      <c r="S16" s="379">
        <f t="shared" si="23"/>
        <v>256686</v>
      </c>
      <c r="T16" s="379">
        <f t="shared" si="23"/>
        <v>337000</v>
      </c>
      <c r="U16" s="379">
        <f t="shared" si="23"/>
        <v>1.89598692890951</v>
      </c>
      <c r="V16" s="379">
        <f t="shared" si="23"/>
        <v>0</v>
      </c>
      <c r="W16" s="379" t="e">
        <f t="shared" si="23"/>
        <v>#DIV/0!</v>
      </c>
      <c r="X16" s="379">
        <f t="shared" si="23"/>
        <v>0</v>
      </c>
      <c r="Y16" s="379">
        <f t="shared" si="23"/>
        <v>5</v>
      </c>
      <c r="Z16" s="379">
        <f t="shared" si="23"/>
        <v>358847.086</v>
      </c>
      <c r="AA16" s="379">
        <f t="shared" si="23"/>
        <v>293570</v>
      </c>
      <c r="AB16" s="379">
        <f t="shared" si="23"/>
        <v>65277.086</v>
      </c>
      <c r="AC16" s="402">
        <f t="shared" si="12"/>
        <v>0.0990882764249636</v>
      </c>
      <c r="AD16" s="376">
        <f>AD15+AD28+AD34+AD36+AD30</f>
        <v>0</v>
      </c>
      <c r="AE16" s="402">
        <f t="shared" si="13"/>
        <v>0</v>
      </c>
      <c r="AF16" s="376">
        <f>AF15+AF28+AF34+AF36+AF30</f>
        <v>0</v>
      </c>
      <c r="AG16" s="371">
        <f t="shared" si="14"/>
        <v>0</v>
      </c>
      <c r="AH16" s="438"/>
      <c r="AI16" s="438"/>
      <c r="AJ16" s="438"/>
      <c r="AK16" s="438"/>
      <c r="AM16" s="335"/>
      <c r="AN16" s="338"/>
    </row>
    <row r="17" s="334" customFormat="1" ht="24.95" customHeight="1" spans="1:40">
      <c r="A17" s="374">
        <v>6</v>
      </c>
      <c r="B17" s="375" t="s">
        <v>490</v>
      </c>
      <c r="C17" s="379">
        <f t="shared" ref="C17:D23" si="24">I17+Q17+Y17</f>
        <v>2</v>
      </c>
      <c r="D17" s="376">
        <f t="shared" si="24"/>
        <v>91894</v>
      </c>
      <c r="E17" s="376">
        <f t="shared" si="18"/>
        <v>0</v>
      </c>
      <c r="F17" s="379">
        <f t="shared" si="21"/>
        <v>12200</v>
      </c>
      <c r="G17" s="377">
        <f t="shared" si="19"/>
        <v>0</v>
      </c>
      <c r="H17" s="371">
        <f t="shared" si="17"/>
        <v>0</v>
      </c>
      <c r="I17" s="376">
        <f>COUNTIF(开!$AU$8:$AU$213,B17)</f>
        <v>2</v>
      </c>
      <c r="J17" s="376">
        <f>SUMIF(开!$AU$8:$AU$213,B17,开!$F$8:$F$213)</f>
        <v>91894</v>
      </c>
      <c r="K17" s="376">
        <f>SUMIF(开!$AU$8:$AU$213,B17,开!$L$8:$L$213)</f>
        <v>12200</v>
      </c>
      <c r="L17" s="402">
        <f t="shared" si="6"/>
        <v>1</v>
      </c>
      <c r="M17" s="376">
        <f>SUMIF(开!$AU$8:$AU$213,B17,开!$P$8:$P$213)</f>
        <v>0</v>
      </c>
      <c r="N17" s="402">
        <f t="shared" si="7"/>
        <v>0</v>
      </c>
      <c r="O17" s="376">
        <f>SUMIF(开!$AU$8:$AU$213,B17,开!$BO$8:$BO$213)</f>
        <v>0</v>
      </c>
      <c r="P17" s="371">
        <f t="shared" si="8"/>
        <v>0</v>
      </c>
      <c r="Q17" s="376">
        <f>COUNTIF('续 '!AM$8:AM$198,B17)</f>
        <v>0</v>
      </c>
      <c r="R17" s="376">
        <f>SUMIF('续 '!AM$8:AM$198,B17,'续 '!$F$8:$F$198)</f>
        <v>0</v>
      </c>
      <c r="S17" s="376">
        <f>SUMIF('续 '!AM$8:AM$198,B17,'续 '!$G$8:$G$198)</f>
        <v>0</v>
      </c>
      <c r="T17" s="376">
        <f>SUMIF('续 '!AM$8:AM$198,B17,'续 '!$L$8:$L$198)</f>
        <v>0</v>
      </c>
      <c r="U17" s="402">
        <f t="shared" si="10"/>
        <v>0</v>
      </c>
      <c r="V17" s="376">
        <f>SUMIF('续 '!AM$8:AM$198,B17,'续 '!$O$8:$O$198)</f>
        <v>0</v>
      </c>
      <c r="W17" s="402" t="e">
        <f t="shared" si="11"/>
        <v>#DIV/0!</v>
      </c>
      <c r="X17" s="376">
        <f>SUMIF('续 '!AM$8:AM$198,B17,'续 '!$BJ$8:$BJ$198)</f>
        <v>0</v>
      </c>
      <c r="Y17" s="376">
        <f>COUNTIF(竣!AM$8:AM$130,B17)</f>
        <v>0</v>
      </c>
      <c r="Z17" s="376">
        <f>SUMIF(竣!AM$8:AM$130,B17,竣!$F$8:$F$130)</f>
        <v>0</v>
      </c>
      <c r="AA17" s="376">
        <f>SUMIF(竣!AM$8:AM$130,B17,竣!$G$8:$G$130)</f>
        <v>0</v>
      </c>
      <c r="AB17" s="376">
        <f>SUMIF(竣!AM$8:AM$130,B17,竣!$L$8:$L$130)</f>
        <v>0</v>
      </c>
      <c r="AC17" s="402">
        <f t="shared" si="12"/>
        <v>0</v>
      </c>
      <c r="AD17" s="376">
        <f>SUMIF(竣!AM$8:AM$130,B17,竣!$O$8:$O$130)</f>
        <v>0</v>
      </c>
      <c r="AE17" s="402" t="e">
        <f t="shared" si="13"/>
        <v>#DIV/0!</v>
      </c>
      <c r="AF17" s="376">
        <f>SUMIF(竣!AM$8:AM$130,B17,竣!$BK$8:$BK$130)</f>
        <v>0</v>
      </c>
      <c r="AG17" s="371" t="e">
        <f t="shared" si="14"/>
        <v>#DIV/0!</v>
      </c>
      <c r="AH17" s="438"/>
      <c r="AI17" s="438"/>
      <c r="AJ17" s="438"/>
      <c r="AK17" s="438"/>
      <c r="AM17" s="335"/>
      <c r="AN17" s="338"/>
    </row>
    <row r="18" s="334" customFormat="1" ht="24.95" customHeight="1" spans="1:40">
      <c r="A18" s="374">
        <v>7</v>
      </c>
      <c r="B18" s="378" t="s">
        <v>185</v>
      </c>
      <c r="C18" s="379">
        <f t="shared" si="24"/>
        <v>52</v>
      </c>
      <c r="D18" s="376">
        <f t="shared" si="24"/>
        <v>6395797</v>
      </c>
      <c r="E18" s="376">
        <f t="shared" si="18"/>
        <v>648426</v>
      </c>
      <c r="F18" s="379">
        <f t="shared" si="21"/>
        <v>673879</v>
      </c>
      <c r="G18" s="377">
        <f t="shared" si="19"/>
        <v>0</v>
      </c>
      <c r="H18" s="371">
        <f t="shared" si="17"/>
        <v>0</v>
      </c>
      <c r="I18" s="376">
        <f>COUNTIF(开!$AU$8:$AU$213,B18)</f>
        <v>17</v>
      </c>
      <c r="J18" s="376">
        <f>SUMIF(开!$AU$8:$AU$213,B18,开!$F$8:$F$213)</f>
        <v>2938881</v>
      </c>
      <c r="K18" s="376">
        <f>SUMIF(开!$AU$8:$AU$213,B18,开!$L$8:$L$213)</f>
        <v>387500</v>
      </c>
      <c r="L18" s="402">
        <f t="shared" si="6"/>
        <v>0.575029048241598</v>
      </c>
      <c r="M18" s="376">
        <f>SUMIF(开!$AU$8:$AU$213,B18,开!$P$8:$P$213)</f>
        <v>0</v>
      </c>
      <c r="N18" s="402">
        <f t="shared" si="7"/>
        <v>0</v>
      </c>
      <c r="O18" s="376">
        <f>SUMIF(开!$AU$8:$AU$213,B18,开!$BO$8:$BO$213)</f>
        <v>0</v>
      </c>
      <c r="P18" s="371">
        <f t="shared" si="8"/>
        <v>0</v>
      </c>
      <c r="Q18" s="376">
        <f>COUNTIF('续 '!AM$8:AM$198,B18)</f>
        <v>24</v>
      </c>
      <c r="R18" s="376">
        <f>SUMIF('续 '!AM$8:AM$198,B18,'续 '!$F$8:$F$198)</f>
        <v>3093129</v>
      </c>
      <c r="S18" s="376">
        <f>SUMIF('续 '!AM$8:AM$198,B18,'续 '!$G$8:$G$198)</f>
        <v>354118</v>
      </c>
      <c r="T18" s="376">
        <f>SUMIF('续 '!AM$8:AM$198,B18,'续 '!$L$8:$L$198)</f>
        <v>216900</v>
      </c>
      <c r="U18" s="402">
        <f t="shared" si="10"/>
        <v>0.3218678724222</v>
      </c>
      <c r="V18" s="376">
        <f>SUMIF('续 '!AM$8:AM$198,B18,'续 '!$O$8:$O$198)</f>
        <v>0</v>
      </c>
      <c r="W18" s="402">
        <f t="shared" si="11"/>
        <v>0</v>
      </c>
      <c r="X18" s="376">
        <f>SUMIF('续 '!AM$8:AM$198,B18,'续 '!$BJ$8:$BJ$198)</f>
        <v>0</v>
      </c>
      <c r="Y18" s="376">
        <f>COUNTIF(竣!AM$8:AM$130,B18)</f>
        <v>11</v>
      </c>
      <c r="Z18" s="376">
        <f>SUMIF(竣!AM$8:AM$130,B18,竣!$F$8:$F$130)</f>
        <v>363787</v>
      </c>
      <c r="AA18" s="376">
        <f>SUMIF(竣!AM$8:AM$130,B18,竣!$G$8:$G$130)</f>
        <v>294308</v>
      </c>
      <c r="AB18" s="376">
        <f>SUMIF(竣!AM$8:AM$130,B18,竣!$L$8:$L$130)</f>
        <v>69479</v>
      </c>
      <c r="AC18" s="402">
        <f t="shared" si="12"/>
        <v>0.103103079336201</v>
      </c>
      <c r="AD18" s="376">
        <f>SUMIF(竣!AM$8:AM$130,B18,竣!$O$8:$O$130)</f>
        <v>0</v>
      </c>
      <c r="AE18" s="402">
        <f t="shared" si="13"/>
        <v>0</v>
      </c>
      <c r="AF18" s="376">
        <f>SUMIF(竣!AM$8:AM$130,B18,竣!$BK$8:$BK$130)</f>
        <v>0</v>
      </c>
      <c r="AG18" s="371">
        <f t="shared" si="14"/>
        <v>0</v>
      </c>
      <c r="AH18" s="438"/>
      <c r="AI18" s="438"/>
      <c r="AJ18" s="438"/>
      <c r="AK18" s="438"/>
      <c r="AM18" s="335"/>
      <c r="AN18" s="338"/>
    </row>
    <row r="19" s="334" customFormat="1" ht="34.9" customHeight="1" spans="1:40">
      <c r="A19" s="374"/>
      <c r="B19" s="378" t="s">
        <v>2751</v>
      </c>
      <c r="C19" s="379">
        <f t="shared" ref="C19:F19" si="25">C18</f>
        <v>52</v>
      </c>
      <c r="D19" s="376">
        <f t="shared" si="25"/>
        <v>6395797</v>
      </c>
      <c r="E19" s="376">
        <f t="shared" si="25"/>
        <v>648426</v>
      </c>
      <c r="F19" s="379">
        <f t="shared" si="25"/>
        <v>673879</v>
      </c>
      <c r="G19" s="377" t="e">
        <f>G18+#REF!</f>
        <v>#REF!</v>
      </c>
      <c r="H19" s="371" t="e">
        <f t="shared" si="17"/>
        <v>#REF!</v>
      </c>
      <c r="I19" s="376">
        <f>I18</f>
        <v>17</v>
      </c>
      <c r="J19" s="376" t="e">
        <f>J18+#REF!</f>
        <v>#REF!</v>
      </c>
      <c r="K19" s="376">
        <f>K18</f>
        <v>387500</v>
      </c>
      <c r="L19" s="402">
        <f t="shared" si="6"/>
        <v>0.575029048241598</v>
      </c>
      <c r="M19" s="376" t="e">
        <f>M18+#REF!</f>
        <v>#REF!</v>
      </c>
      <c r="N19" s="402" t="e">
        <f t="shared" si="7"/>
        <v>#REF!</v>
      </c>
      <c r="O19" s="376" t="e">
        <f>O18+#REF!</f>
        <v>#REF!</v>
      </c>
      <c r="P19" s="371" t="e">
        <f t="shared" si="8"/>
        <v>#REF!</v>
      </c>
      <c r="Q19" s="376">
        <f>Q18</f>
        <v>24</v>
      </c>
      <c r="R19" s="376" t="e">
        <f>R18+#REF!</f>
        <v>#REF!</v>
      </c>
      <c r="S19" s="376" t="e">
        <f>S18+#REF!</f>
        <v>#REF!</v>
      </c>
      <c r="T19" s="376">
        <f>T18</f>
        <v>216900</v>
      </c>
      <c r="U19" s="402">
        <f t="shared" si="10"/>
        <v>0.3218678724222</v>
      </c>
      <c r="V19" s="376" t="e">
        <f>V18+#REF!</f>
        <v>#REF!</v>
      </c>
      <c r="W19" s="402" t="e">
        <f t="shared" si="11"/>
        <v>#REF!</v>
      </c>
      <c r="X19" s="376" t="e">
        <f>X18+#REF!</f>
        <v>#REF!</v>
      </c>
      <c r="Y19" s="376">
        <f>Y18</f>
        <v>11</v>
      </c>
      <c r="Z19" s="376" t="e">
        <f>Z18+#REF!</f>
        <v>#REF!</v>
      </c>
      <c r="AA19" s="376" t="e">
        <f>AA18+#REF!</f>
        <v>#REF!</v>
      </c>
      <c r="AB19" s="376">
        <f>AB18</f>
        <v>69479</v>
      </c>
      <c r="AC19" s="402">
        <f t="shared" si="12"/>
        <v>0.103103079336201</v>
      </c>
      <c r="AD19" s="376" t="e">
        <f>AD18+#REF!</f>
        <v>#REF!</v>
      </c>
      <c r="AE19" s="402" t="e">
        <f t="shared" si="13"/>
        <v>#REF!</v>
      </c>
      <c r="AF19" s="376" t="e">
        <f>AF18+#REF!</f>
        <v>#REF!</v>
      </c>
      <c r="AG19" s="371" t="e">
        <f t="shared" si="14"/>
        <v>#REF!</v>
      </c>
      <c r="AH19" s="438"/>
      <c r="AI19" s="438"/>
      <c r="AJ19" s="438"/>
      <c r="AK19" s="438"/>
      <c r="AM19" s="335"/>
      <c r="AN19" s="338"/>
    </row>
    <row r="20" s="334" customFormat="1" ht="24.95" customHeight="1" spans="1:40">
      <c r="A20" s="374">
        <v>8</v>
      </c>
      <c r="B20" s="378" t="s">
        <v>166</v>
      </c>
      <c r="C20" s="379">
        <f t="shared" si="24"/>
        <v>17</v>
      </c>
      <c r="D20" s="376">
        <f t="shared" si="24"/>
        <v>275255</v>
      </c>
      <c r="E20" s="376">
        <f t="shared" si="18"/>
        <v>26924</v>
      </c>
      <c r="F20" s="379">
        <f t="shared" ref="F20:F23" si="26">K20+T20+AB20</f>
        <v>60127</v>
      </c>
      <c r="G20" s="377">
        <f t="shared" si="19"/>
        <v>0</v>
      </c>
      <c r="H20" s="371">
        <f t="shared" si="17"/>
        <v>0</v>
      </c>
      <c r="I20" s="376">
        <f>COUNTIF(开!$AU$8:$AU$213,B20)</f>
        <v>8</v>
      </c>
      <c r="J20" s="376">
        <f>SUMIF(开!$AU$8:$AU$213,B20,开!$F$8:$F$213)</f>
        <v>174175</v>
      </c>
      <c r="K20" s="376">
        <f>SUMIF(开!$AU$8:$AU$213,B20,开!$L$8:$L$213)</f>
        <v>17127</v>
      </c>
      <c r="L20" s="402">
        <f t="shared" si="6"/>
        <v>0.284847073694014</v>
      </c>
      <c r="M20" s="376">
        <f>SUMIF(开!$AU$8:$AU$213,B20,开!$P$8:$P$213)</f>
        <v>0</v>
      </c>
      <c r="N20" s="402">
        <f t="shared" si="7"/>
        <v>0</v>
      </c>
      <c r="O20" s="376">
        <f>SUMIF(开!$AU$8:$AU$213,B20,开!$BO$8:$BO$213)</f>
        <v>0</v>
      </c>
      <c r="P20" s="371">
        <f t="shared" si="8"/>
        <v>0</v>
      </c>
      <c r="Q20" s="376">
        <f>COUNTIF('续 '!AM$8:AM$198,B20)</f>
        <v>6</v>
      </c>
      <c r="R20" s="376">
        <f>SUMIF('续 '!AM$8:AM$198,B20,'续 '!$F$8:$F$198)</f>
        <v>83080</v>
      </c>
      <c r="S20" s="376">
        <f>SUMIF('续 '!AM$8:AM$198,B20,'续 '!$G$8:$G$198)</f>
        <v>23924</v>
      </c>
      <c r="T20" s="376">
        <f>SUMIF('续 '!AM$8:AM$198,B20,'续 '!$L$8:$L$198)</f>
        <v>28000</v>
      </c>
      <c r="U20" s="402">
        <f t="shared" si="10"/>
        <v>0.465680975269014</v>
      </c>
      <c r="V20" s="376">
        <f>SUMIF('续 '!AM$8:AM$198,B20,'续 '!$O$8:$O$198)</f>
        <v>0</v>
      </c>
      <c r="W20" s="402">
        <f t="shared" si="11"/>
        <v>0</v>
      </c>
      <c r="X20" s="376">
        <f>SUMIF('续 '!AM$8:AM$198,B20,'续 '!$BJ$8:$BJ$198)</f>
        <v>0</v>
      </c>
      <c r="Y20" s="376">
        <f>COUNTIF(竣!AM$8:AM$130,B20)</f>
        <v>3</v>
      </c>
      <c r="Z20" s="376">
        <f>SUMIF(竣!AM$8:AM$130,B20,竣!$F$8:$F$130)</f>
        <v>18000</v>
      </c>
      <c r="AA20" s="376">
        <f>SUMIF(竣!AM$8:AM$130,B20,竣!$G$8:$G$130)</f>
        <v>3000</v>
      </c>
      <c r="AB20" s="376">
        <f>SUMIF(竣!AM$8:AM$130,B20,竣!$L$8:$L$130)</f>
        <v>15000</v>
      </c>
      <c r="AC20" s="402">
        <f t="shared" si="12"/>
        <v>0.249471951036972</v>
      </c>
      <c r="AD20" s="376">
        <f>SUMIF(竣!AM$8:AM$130,B20,竣!$O$8:$O$130)</f>
        <v>0</v>
      </c>
      <c r="AE20" s="402">
        <f t="shared" si="13"/>
        <v>0</v>
      </c>
      <c r="AF20" s="376">
        <f>SUMIF(竣!AM$8:AM$130,B20,竣!$BK$8:$BK$130)</f>
        <v>0</v>
      </c>
      <c r="AG20" s="371">
        <f t="shared" si="14"/>
        <v>0</v>
      </c>
      <c r="AH20" s="438"/>
      <c r="AI20" s="438"/>
      <c r="AJ20" s="438"/>
      <c r="AK20" s="438"/>
      <c r="AM20" s="335"/>
      <c r="AN20" s="338"/>
    </row>
    <row r="21" s="334" customFormat="1" ht="24.95" customHeight="1" spans="1:40">
      <c r="A21" s="374">
        <v>9</v>
      </c>
      <c r="B21" s="380" t="s">
        <v>240</v>
      </c>
      <c r="C21" s="379">
        <f t="shared" si="24"/>
        <v>18</v>
      </c>
      <c r="D21" s="376">
        <f t="shared" si="24"/>
        <v>479010</v>
      </c>
      <c r="E21" s="376">
        <f t="shared" si="18"/>
        <v>141554</v>
      </c>
      <c r="F21" s="379">
        <f t="shared" si="26"/>
        <v>136800</v>
      </c>
      <c r="G21" s="377">
        <f t="shared" si="19"/>
        <v>0</v>
      </c>
      <c r="H21" s="371">
        <f t="shared" si="17"/>
        <v>0</v>
      </c>
      <c r="I21" s="376">
        <f>COUNTIF(开!$AU$8:$AU$213,B21)</f>
        <v>4</v>
      </c>
      <c r="J21" s="376">
        <f>SUMIF(开!$AU$8:$AU$213,B21,开!$F$8:$F$213)</f>
        <v>222020</v>
      </c>
      <c r="K21" s="376">
        <f>SUMIF(开!$AU$8:$AU$213,B21,开!$L$8:$L$213)</f>
        <v>72000</v>
      </c>
      <c r="L21" s="402">
        <f t="shared" si="6"/>
        <v>0.526315789473684</v>
      </c>
      <c r="M21" s="376">
        <f>SUMIF(开!$AU$8:$AU$213,B21,开!$P$8:$P$213)</f>
        <v>0</v>
      </c>
      <c r="N21" s="402">
        <f t="shared" si="7"/>
        <v>0</v>
      </c>
      <c r="O21" s="376">
        <f>SUMIF(开!$AU$8:$AU$213,B21,开!$BO$8:$BO$213)</f>
        <v>0</v>
      </c>
      <c r="P21" s="371">
        <f t="shared" si="8"/>
        <v>0</v>
      </c>
      <c r="Q21" s="376">
        <f>COUNTIF('续 '!AM$8:AM$198,B21)</f>
        <v>6</v>
      </c>
      <c r="R21" s="376">
        <f>SUMIF('续 '!AM$8:AM$198,B21,'续 '!$F$8:$F$198)</f>
        <v>150590</v>
      </c>
      <c r="S21" s="376">
        <f>SUMIF('续 '!AM$8:AM$198,B21,'续 '!$G$8:$G$198)</f>
        <v>84554</v>
      </c>
      <c r="T21" s="376">
        <f>SUMIF('续 '!AM$8:AM$198,B21,'续 '!$L$8:$L$198)</f>
        <v>15400</v>
      </c>
      <c r="U21" s="402">
        <f t="shared" si="10"/>
        <v>0.112573099415205</v>
      </c>
      <c r="V21" s="376">
        <f>SUMIF('续 '!AM$8:AM$198,B21,'续 '!$O$8:$O$198)</f>
        <v>0</v>
      </c>
      <c r="W21" s="402">
        <f t="shared" si="11"/>
        <v>0</v>
      </c>
      <c r="X21" s="376">
        <f>SUMIF('续 '!AM$8:AM$198,B21,'续 '!$BJ$8:$BJ$198)</f>
        <v>0</v>
      </c>
      <c r="Y21" s="376">
        <f>COUNTIF(竣!AM$8:AM$130,B21)</f>
        <v>8</v>
      </c>
      <c r="Z21" s="376">
        <f>SUMIF(竣!AM$8:AM$130,B21,竣!$F$8:$F$130)</f>
        <v>106400</v>
      </c>
      <c r="AA21" s="376">
        <f>SUMIF(竣!AM$8:AM$130,B21,竣!$G$8:$G$130)</f>
        <v>57000</v>
      </c>
      <c r="AB21" s="376">
        <f>SUMIF(竣!AM$8:AM$130,B21,竣!$L$8:$L$130)</f>
        <v>49400</v>
      </c>
      <c r="AC21" s="402">
        <f t="shared" si="12"/>
        <v>0.361111111111111</v>
      </c>
      <c r="AD21" s="376">
        <f>SUMIF(竣!AM$8:AM$130,B21,竣!$O$8:$O$130)</f>
        <v>0</v>
      </c>
      <c r="AE21" s="402">
        <f t="shared" si="13"/>
        <v>0</v>
      </c>
      <c r="AF21" s="376">
        <f>SUMIF(竣!AM$8:AM$130,B21,竣!$BK$8:$BK$130)</f>
        <v>0</v>
      </c>
      <c r="AG21" s="371">
        <f t="shared" si="14"/>
        <v>0</v>
      </c>
      <c r="AH21" s="438"/>
      <c r="AI21" s="438"/>
      <c r="AJ21" s="438"/>
      <c r="AK21" s="438"/>
      <c r="AM21" s="335"/>
      <c r="AN21" s="338"/>
    </row>
    <row r="22" s="334" customFormat="1" ht="24.95" customHeight="1" spans="1:40">
      <c r="A22" s="374"/>
      <c r="B22" s="380" t="s">
        <v>2752</v>
      </c>
      <c r="C22" s="379">
        <f>C21+C28</f>
        <v>18</v>
      </c>
      <c r="D22" s="376">
        <f>D21+D28</f>
        <v>479010</v>
      </c>
      <c r="E22" s="376">
        <f t="shared" ref="E22:J22" si="27">E21+E28</f>
        <v>141554</v>
      </c>
      <c r="F22" s="379">
        <f t="shared" si="27"/>
        <v>136800</v>
      </c>
      <c r="G22" s="377">
        <f t="shared" si="27"/>
        <v>0</v>
      </c>
      <c r="H22" s="371">
        <f t="shared" si="17"/>
        <v>0</v>
      </c>
      <c r="I22" s="376">
        <f t="shared" si="27"/>
        <v>4</v>
      </c>
      <c r="J22" s="376">
        <f t="shared" si="27"/>
        <v>222020</v>
      </c>
      <c r="K22" s="376">
        <f t="shared" ref="K22:S22" si="28">K21+K28</f>
        <v>72000</v>
      </c>
      <c r="L22" s="402">
        <f t="shared" si="6"/>
        <v>0.526315789473684</v>
      </c>
      <c r="M22" s="376">
        <f t="shared" si="28"/>
        <v>0</v>
      </c>
      <c r="N22" s="402">
        <f t="shared" si="7"/>
        <v>0</v>
      </c>
      <c r="O22" s="376">
        <f t="shared" si="28"/>
        <v>0</v>
      </c>
      <c r="P22" s="371">
        <f t="shared" si="8"/>
        <v>0</v>
      </c>
      <c r="Q22" s="376">
        <f t="shared" si="28"/>
        <v>6</v>
      </c>
      <c r="R22" s="376">
        <f t="shared" si="28"/>
        <v>150590</v>
      </c>
      <c r="S22" s="376">
        <f t="shared" si="28"/>
        <v>84554</v>
      </c>
      <c r="T22" s="376">
        <f t="shared" ref="T22:AB22" si="29">T21+T28</f>
        <v>15400</v>
      </c>
      <c r="U22" s="402">
        <f t="shared" si="10"/>
        <v>0.112573099415205</v>
      </c>
      <c r="V22" s="376">
        <f t="shared" si="29"/>
        <v>0</v>
      </c>
      <c r="W22" s="402">
        <f t="shared" si="11"/>
        <v>0</v>
      </c>
      <c r="X22" s="376">
        <f t="shared" si="29"/>
        <v>0</v>
      </c>
      <c r="Y22" s="376">
        <f t="shared" si="29"/>
        <v>8</v>
      </c>
      <c r="Z22" s="376">
        <f t="shared" si="29"/>
        <v>106400</v>
      </c>
      <c r="AA22" s="376">
        <f t="shared" si="29"/>
        <v>57000</v>
      </c>
      <c r="AB22" s="376">
        <f t="shared" si="29"/>
        <v>49400</v>
      </c>
      <c r="AC22" s="402">
        <f t="shared" si="12"/>
        <v>0.361111111111111</v>
      </c>
      <c r="AD22" s="376">
        <f>AD21+AD28</f>
        <v>0</v>
      </c>
      <c r="AE22" s="402">
        <f t="shared" si="13"/>
        <v>0</v>
      </c>
      <c r="AF22" s="376">
        <f>AF21+AF28</f>
        <v>0</v>
      </c>
      <c r="AG22" s="371">
        <f t="shared" si="14"/>
        <v>0</v>
      </c>
      <c r="AH22" s="438"/>
      <c r="AI22" s="438"/>
      <c r="AJ22" s="438"/>
      <c r="AK22" s="438"/>
      <c r="AM22" s="335"/>
      <c r="AN22" s="338"/>
    </row>
    <row r="23" s="334" customFormat="1" ht="24.95" customHeight="1" spans="1:40">
      <c r="A23" s="374">
        <v>10</v>
      </c>
      <c r="B23" s="378" t="s">
        <v>498</v>
      </c>
      <c r="C23" s="379">
        <f t="shared" si="24"/>
        <v>21</v>
      </c>
      <c r="D23" s="376">
        <f t="shared" si="24"/>
        <v>350344.32</v>
      </c>
      <c r="E23" s="376">
        <f t="shared" si="18"/>
        <v>77895</v>
      </c>
      <c r="F23" s="379">
        <f t="shared" si="26"/>
        <v>46230</v>
      </c>
      <c r="G23" s="377">
        <f t="shared" si="19"/>
        <v>0</v>
      </c>
      <c r="H23" s="371">
        <f t="shared" si="17"/>
        <v>0</v>
      </c>
      <c r="I23" s="376">
        <f>COUNTIF(开!$AU$8:$AU$213,B23)</f>
        <v>5</v>
      </c>
      <c r="J23" s="376">
        <f>SUMIF(开!$AU$8:$AU$213,B23,开!$F$8:$F$213)</f>
        <v>103174.06</v>
      </c>
      <c r="K23" s="376">
        <f>SUMIF(开!$AU$8:$AU$213,B23,开!$L$8:$L$213)</f>
        <v>5000</v>
      </c>
      <c r="L23" s="402">
        <f t="shared" si="6"/>
        <v>0.108154877784988</v>
      </c>
      <c r="M23" s="376">
        <f>SUMIF(开!$AU$8:$AU$213,B23,开!$P$8:$P$213)</f>
        <v>0</v>
      </c>
      <c r="N23" s="402">
        <f t="shared" si="7"/>
        <v>0</v>
      </c>
      <c r="O23" s="376">
        <f>SUMIF(开!$AU$8:$AU$213,B23,开!$BO$8:$BO$213)</f>
        <v>0</v>
      </c>
      <c r="P23" s="371">
        <f t="shared" si="8"/>
        <v>0</v>
      </c>
      <c r="Q23" s="376">
        <f>COUNTIF('续 '!AM$8:AM$198,B23)</f>
        <v>14</v>
      </c>
      <c r="R23" s="376">
        <f>SUMIF('续 '!AM$8:AM$198,B23,'续 '!$F$8:$F$198)</f>
        <v>242139.26</v>
      </c>
      <c r="S23" s="376">
        <f>SUMIF('续 '!AM$8:AM$198,B23,'续 '!$G$8:$G$198)</f>
        <v>76368</v>
      </c>
      <c r="T23" s="376">
        <f>SUMIF('续 '!AM$8:AM$198,B23,'续 '!$L$8:$L$198)</f>
        <v>37726</v>
      </c>
      <c r="U23" s="402">
        <f t="shared" si="10"/>
        <v>0.816050183863292</v>
      </c>
      <c r="V23" s="376">
        <f>SUMIF('续 '!AM$8:AM$198,B23,'续 '!$O$8:$O$198)</f>
        <v>0</v>
      </c>
      <c r="W23" s="402">
        <f t="shared" si="11"/>
        <v>0</v>
      </c>
      <c r="X23" s="376">
        <f>SUMIF('续 '!AM$8:AM$198,B23,'续 '!$BJ$8:$BJ$198)</f>
        <v>0</v>
      </c>
      <c r="Y23" s="376">
        <f>COUNTIF(竣!AM$8:AM$130,B23)</f>
        <v>2</v>
      </c>
      <c r="Z23" s="376">
        <f>SUMIF(竣!AM$8:AM$130,B23,竣!$F$8:$F$130)</f>
        <v>5031</v>
      </c>
      <c r="AA23" s="376">
        <f>SUMIF(竣!AM$8:AM$130,B23,竣!$G$8:$G$130)</f>
        <v>1527</v>
      </c>
      <c r="AB23" s="376">
        <f>SUMIF(竣!AM$8:AM$130,B23,竣!$L$8:$L$130)</f>
        <v>3504</v>
      </c>
      <c r="AC23" s="402">
        <f t="shared" si="12"/>
        <v>0.0757949383517197</v>
      </c>
      <c r="AD23" s="376">
        <f>SUMIF(竣!AM$8:AM$130,B23,竣!$O$8:$O$130)</f>
        <v>0</v>
      </c>
      <c r="AE23" s="402">
        <f t="shared" si="13"/>
        <v>0</v>
      </c>
      <c r="AF23" s="376">
        <f>SUMIF(竣!AM$8:AM$130,B23,竣!$BK$8:$BK$130)</f>
        <v>0</v>
      </c>
      <c r="AG23" s="371">
        <f t="shared" si="14"/>
        <v>0</v>
      </c>
      <c r="AH23" s="438"/>
      <c r="AI23" s="438"/>
      <c r="AJ23" s="438"/>
      <c r="AK23" s="438"/>
      <c r="AM23" s="335"/>
      <c r="AN23" s="338"/>
    </row>
    <row r="24" s="334" customFormat="1" ht="34.15" customHeight="1" spans="1:40">
      <c r="A24" s="374"/>
      <c r="B24" s="378" t="s">
        <v>2753</v>
      </c>
      <c r="C24" s="379">
        <f t="shared" ref="C24:F24" si="30">C23+C37+C38</f>
        <v>23</v>
      </c>
      <c r="D24" s="376">
        <f t="shared" si="30"/>
        <v>399444.32</v>
      </c>
      <c r="E24" s="376">
        <f t="shared" si="30"/>
        <v>93455</v>
      </c>
      <c r="F24" s="379">
        <f t="shared" si="30"/>
        <v>61170</v>
      </c>
      <c r="G24" s="377" t="e">
        <f>G23+G31+#REF!+G37+#REF!+G38</f>
        <v>#REF!</v>
      </c>
      <c r="H24" s="371" t="e">
        <f t="shared" si="17"/>
        <v>#REF!</v>
      </c>
      <c r="I24" s="376">
        <f>I23+I37+I38</f>
        <v>5</v>
      </c>
      <c r="J24" s="376" t="e">
        <f>J23+J31+#REF!+J37+#REF!+J38</f>
        <v>#REF!</v>
      </c>
      <c r="K24" s="376">
        <f>K23+K37+K38</f>
        <v>5000</v>
      </c>
      <c r="L24" s="402">
        <f t="shared" si="6"/>
        <v>0.0817394147457904</v>
      </c>
      <c r="M24" s="376" t="e">
        <f>M23+M31+#REF!+M37+#REF!+M38</f>
        <v>#REF!</v>
      </c>
      <c r="N24" s="402" t="e">
        <f t="shared" si="7"/>
        <v>#REF!</v>
      </c>
      <c r="O24" s="376" t="e">
        <f>O23+O31+#REF!+O37+#REF!+O38</f>
        <v>#REF!</v>
      </c>
      <c r="P24" s="371" t="e">
        <f t="shared" si="8"/>
        <v>#REF!</v>
      </c>
      <c r="Q24" s="376">
        <f>Q23+Q37+Q38</f>
        <v>15</v>
      </c>
      <c r="R24" s="376" t="e">
        <f>R23+R31+#REF!+R37+#REF!+R38</f>
        <v>#REF!</v>
      </c>
      <c r="S24" s="376" t="e">
        <f>S23+S31+#REF!+S37+#REF!+S38</f>
        <v>#REF!</v>
      </c>
      <c r="T24" s="376">
        <f>T23+T37+T38</f>
        <v>50726</v>
      </c>
      <c r="U24" s="402">
        <f t="shared" si="10"/>
        <v>0.829262710478993</v>
      </c>
      <c r="V24" s="376" t="e">
        <f>V23+V31+#REF!+V37+#REF!+V38</f>
        <v>#REF!</v>
      </c>
      <c r="W24" s="402" t="e">
        <f t="shared" si="11"/>
        <v>#REF!</v>
      </c>
      <c r="X24" s="376" t="e">
        <f>X23+X31+#REF!+X37+#REF!+X38</f>
        <v>#REF!</v>
      </c>
      <c r="Y24" s="376">
        <f>Y23+Y37+Y38</f>
        <v>3</v>
      </c>
      <c r="Z24" s="376" t="e">
        <f>Z23+Z31+#REF!+Z37+#REF!+Z38</f>
        <v>#REF!</v>
      </c>
      <c r="AA24" s="376" t="e">
        <f>AA23+AA31+#REF!+AA37+#REF!+AA38</f>
        <v>#REF!</v>
      </c>
      <c r="AB24" s="376">
        <f>AB23+AB37+AB38</f>
        <v>5444</v>
      </c>
      <c r="AC24" s="402">
        <f t="shared" si="12"/>
        <v>0.0889978747752166</v>
      </c>
      <c r="AD24" s="376" t="e">
        <f>AD23+AD31+#REF!+AD37+#REF!</f>
        <v>#REF!</v>
      </c>
      <c r="AE24" s="402" t="e">
        <f t="shared" si="13"/>
        <v>#REF!</v>
      </c>
      <c r="AF24" s="376" t="e">
        <f>AF23+AF31+#REF!+AF37+#REF!</f>
        <v>#REF!</v>
      </c>
      <c r="AG24" s="371" t="e">
        <f t="shared" si="14"/>
        <v>#REF!</v>
      </c>
      <c r="AH24" s="438"/>
      <c r="AI24" s="438"/>
      <c r="AJ24" s="438"/>
      <c r="AK24" s="438"/>
      <c r="AM24" s="335"/>
      <c r="AN24" s="338"/>
    </row>
    <row r="25" s="334" customFormat="1" ht="24.95" customHeight="1" spans="1:40">
      <c r="A25" s="374">
        <v>11</v>
      </c>
      <c r="B25" s="378" t="s">
        <v>504</v>
      </c>
      <c r="C25" s="379">
        <f>I25+Q25+Y25</f>
        <v>3</v>
      </c>
      <c r="D25" s="376">
        <f>J25+R25+Z25</f>
        <v>350600</v>
      </c>
      <c r="E25" s="376">
        <f t="shared" si="18"/>
        <v>8016</v>
      </c>
      <c r="F25" s="379">
        <f t="shared" ref="F25:F31" si="31">K25+T25+AB25</f>
        <v>24000</v>
      </c>
      <c r="G25" s="377">
        <f t="shared" si="19"/>
        <v>0</v>
      </c>
      <c r="H25" s="371">
        <f t="shared" si="17"/>
        <v>0</v>
      </c>
      <c r="I25" s="376">
        <f>COUNTIF(开!$AU$8:$AU$213,B25)</f>
        <v>2</v>
      </c>
      <c r="J25" s="376">
        <f>SUMIF(开!$AU$8:$AU$213,B25,开!$F$8:$F$213)</f>
        <v>310600</v>
      </c>
      <c r="K25" s="376">
        <f>SUMIF(开!$AU$8:$AU$213,B25,开!$L$8:$L$213)</f>
        <v>14000</v>
      </c>
      <c r="L25" s="402">
        <f t="shared" si="6"/>
        <v>0.583333333333333</v>
      </c>
      <c r="M25" s="376">
        <f>SUMIF(开!$AU$8:$AU$213,B25,开!$P$8:$P$213)</f>
        <v>0</v>
      </c>
      <c r="N25" s="402">
        <f t="shared" si="7"/>
        <v>0</v>
      </c>
      <c r="O25" s="376">
        <f>SUMIF(开!$AU$8:$AU$213,B25,开!$BO$8:$BO$213)</f>
        <v>0</v>
      </c>
      <c r="P25" s="371">
        <f t="shared" si="8"/>
        <v>0</v>
      </c>
      <c r="Q25" s="376">
        <f>COUNTIF('续 '!AM$8:AM$198,B25)</f>
        <v>1</v>
      </c>
      <c r="R25" s="376">
        <f>SUMIF('续 '!AM$8:AM$198,B25,'续 '!$F$8:$F$198)</f>
        <v>40000</v>
      </c>
      <c r="S25" s="376">
        <f>SUMIF('续 '!AM$8:AM$198,B25,'续 '!$G$8:$G$198)</f>
        <v>8016</v>
      </c>
      <c r="T25" s="376">
        <f>SUMIF('续 '!AM$8:AM$198,B25,'续 '!$L$8:$L$198)</f>
        <v>10000</v>
      </c>
      <c r="U25" s="402">
        <f t="shared" si="10"/>
        <v>0.416666666666667</v>
      </c>
      <c r="V25" s="376">
        <f>SUMIF('续 '!AM$8:AM$198,B25,'续 '!$O$8:$O$198)</f>
        <v>0</v>
      </c>
      <c r="W25" s="402">
        <f t="shared" si="11"/>
        <v>0</v>
      </c>
      <c r="X25" s="376">
        <f>SUMIF('续 '!AM$8:AM$198,B25,'续 '!$BJ$8:$BJ$198)</f>
        <v>0</v>
      </c>
      <c r="Y25" s="376">
        <f>COUNTIF(竣!AM$8:AM$130,B25)</f>
        <v>0</v>
      </c>
      <c r="Z25" s="376">
        <f>SUMIF(竣!AM$8:AM$130,B25,竣!$F$8:$F$130)</f>
        <v>0</v>
      </c>
      <c r="AA25" s="376">
        <f>SUMIF(竣!AM$8:AM$130,B25,竣!$G$8:$G$130)</f>
        <v>0</v>
      </c>
      <c r="AB25" s="376">
        <f>SUMIF(竣!AM$8:AM$130,B25,竣!$L$8:$L$130)</f>
        <v>0</v>
      </c>
      <c r="AC25" s="402">
        <f t="shared" si="12"/>
        <v>0</v>
      </c>
      <c r="AD25" s="376">
        <f>SUMIF(竣!AM$8:AM$130,B25,竣!$O$8:$O$130)</f>
        <v>0</v>
      </c>
      <c r="AE25" s="402" t="e">
        <f t="shared" si="13"/>
        <v>#DIV/0!</v>
      </c>
      <c r="AF25" s="376">
        <f>SUMIF(竣!AM$8:AM$130,B25,竣!$BK$8:$BK$130)</f>
        <v>0</v>
      </c>
      <c r="AG25" s="371" t="e">
        <f t="shared" si="14"/>
        <v>#DIV/0!</v>
      </c>
      <c r="AH25" s="438"/>
      <c r="AI25" s="438"/>
      <c r="AJ25" s="438"/>
      <c r="AK25" s="438"/>
      <c r="AM25" s="335"/>
      <c r="AN25" s="338"/>
    </row>
    <row r="26" ht="24.95" customHeight="1" spans="1:40">
      <c r="A26" s="372" t="s">
        <v>560</v>
      </c>
      <c r="B26" s="373" t="s">
        <v>2754</v>
      </c>
      <c r="C26" s="369">
        <f t="shared" ref="C26:G26" si="32">SUM(C27:C38)</f>
        <v>13</v>
      </c>
      <c r="D26" s="368">
        <f t="shared" si="32"/>
        <v>6222119</v>
      </c>
      <c r="E26" s="368">
        <f t="shared" si="32"/>
        <v>202239</v>
      </c>
      <c r="F26" s="369">
        <f t="shared" si="32"/>
        <v>244669</v>
      </c>
      <c r="G26" s="377">
        <f t="shared" si="32"/>
        <v>0</v>
      </c>
      <c r="H26" s="371">
        <f t="shared" si="17"/>
        <v>0</v>
      </c>
      <c r="I26" s="368">
        <f t="shared" ref="I26:K26" si="33">SUM(I27:I38)</f>
        <v>6</v>
      </c>
      <c r="J26" s="368">
        <f t="shared" si="33"/>
        <v>5726370</v>
      </c>
      <c r="K26" s="368">
        <f t="shared" si="33"/>
        <v>114200</v>
      </c>
      <c r="L26" s="402">
        <f t="shared" si="6"/>
        <v>0.466753041864723</v>
      </c>
      <c r="M26" s="368">
        <f t="shared" ref="M26:T26" si="34">SUM(M27:M38)</f>
        <v>0</v>
      </c>
      <c r="N26" s="402">
        <f t="shared" si="7"/>
        <v>0</v>
      </c>
      <c r="O26" s="368">
        <f t="shared" si="34"/>
        <v>0</v>
      </c>
      <c r="P26" s="371">
        <f t="shared" si="8"/>
        <v>0</v>
      </c>
      <c r="Q26" s="368">
        <f t="shared" si="34"/>
        <v>4</v>
      </c>
      <c r="R26" s="368">
        <f t="shared" si="34"/>
        <v>298583</v>
      </c>
      <c r="S26" s="368">
        <f t="shared" si="34"/>
        <v>60542</v>
      </c>
      <c r="T26" s="368">
        <f t="shared" si="34"/>
        <v>75000</v>
      </c>
      <c r="U26" s="402">
        <f t="shared" si="10"/>
        <v>0.306536586163347</v>
      </c>
      <c r="V26" s="368">
        <f t="shared" ref="V26:AB26" si="35">SUM(V27:V38)</f>
        <v>0</v>
      </c>
      <c r="W26" s="402">
        <f t="shared" si="11"/>
        <v>0</v>
      </c>
      <c r="X26" s="368">
        <f t="shared" si="35"/>
        <v>0</v>
      </c>
      <c r="Y26" s="368">
        <f t="shared" si="35"/>
        <v>3</v>
      </c>
      <c r="Z26" s="368">
        <f t="shared" si="35"/>
        <v>197166</v>
      </c>
      <c r="AA26" s="368">
        <f t="shared" si="35"/>
        <v>141697</v>
      </c>
      <c r="AB26" s="368">
        <f t="shared" si="35"/>
        <v>55469</v>
      </c>
      <c r="AC26" s="402">
        <f t="shared" si="12"/>
        <v>0.226710371971929</v>
      </c>
      <c r="AD26" s="368">
        <f>SUM(AD27:AD38)</f>
        <v>0</v>
      </c>
      <c r="AE26" s="402">
        <f t="shared" si="13"/>
        <v>0</v>
      </c>
      <c r="AF26" s="368">
        <f>SUM(AF27:AF38)</f>
        <v>0</v>
      </c>
      <c r="AG26" s="371">
        <f t="shared" si="14"/>
        <v>0</v>
      </c>
      <c r="AN26" s="338"/>
    </row>
    <row r="27" s="334" customFormat="1" ht="24.95" customHeight="1" spans="1:40">
      <c r="A27" s="374">
        <v>12</v>
      </c>
      <c r="B27" s="375" t="s">
        <v>1621</v>
      </c>
      <c r="C27" s="379">
        <f t="shared" ref="C27:C38" si="36">I27+Q27+Y27</f>
        <v>2</v>
      </c>
      <c r="D27" s="376">
        <f t="shared" ref="D27:D38" si="37">J27+R27+Z27</f>
        <v>19665</v>
      </c>
      <c r="E27" s="376">
        <f t="shared" ref="E27:E31" si="38">S27+AA27</f>
        <v>2005</v>
      </c>
      <c r="F27" s="379">
        <f t="shared" si="31"/>
        <v>15360</v>
      </c>
      <c r="G27" s="377">
        <f>M27+V27+AD27</f>
        <v>0</v>
      </c>
      <c r="H27" s="371">
        <f t="shared" si="17"/>
        <v>0</v>
      </c>
      <c r="I27" s="376">
        <f>COUNTIF(开!$AU$8:$AU$213,B27)</f>
        <v>1</v>
      </c>
      <c r="J27" s="376">
        <f>SUMIF(开!$AU$8:$AU$213,B27,开!$F$8:$F$213)</f>
        <v>11500</v>
      </c>
      <c r="K27" s="376">
        <f>SUMIF(开!$AU$8:$AU$213,B27,开!$L$8:$L$213)</f>
        <v>9200</v>
      </c>
      <c r="L27" s="402">
        <f t="shared" si="6"/>
        <v>0.598958333333333</v>
      </c>
      <c r="M27" s="376">
        <f>SUMIF(开!$AU$8:$AU$213,B27,开!$P$8:$P$213)</f>
        <v>0</v>
      </c>
      <c r="N27" s="402">
        <f t="shared" si="7"/>
        <v>0</v>
      </c>
      <c r="O27" s="376">
        <f>SUMIF(开!$AU$8:$AU$213,B27,开!$BO$8:$BO$213)</f>
        <v>0</v>
      </c>
      <c r="P27" s="371">
        <f t="shared" si="8"/>
        <v>0</v>
      </c>
      <c r="Q27" s="376">
        <f>COUNTIF('续 '!AM$8:AM$198,B27)</f>
        <v>0</v>
      </c>
      <c r="R27" s="376">
        <f>SUMIF('续 '!AM$8:AM$198,B27,'续 '!$F$8:$F$198)</f>
        <v>0</v>
      </c>
      <c r="S27" s="376">
        <f>SUMIF('续 '!AM$8:AM$198,B27,'续 '!$G$8:$G$198)</f>
        <v>0</v>
      </c>
      <c r="T27" s="376">
        <f>SUMIF('续 '!AM$8:AM$198,B27,'续 '!$L$8:$L$198)</f>
        <v>0</v>
      </c>
      <c r="U27" s="402">
        <f t="shared" si="10"/>
        <v>0</v>
      </c>
      <c r="V27" s="376">
        <f>SUMIF('续 '!AM$8:AM$198,B27,'续 '!$O$8:$O$198)</f>
        <v>0</v>
      </c>
      <c r="W27" s="402" t="e">
        <f t="shared" si="11"/>
        <v>#DIV/0!</v>
      </c>
      <c r="X27" s="376">
        <f>SUMIF('续 '!AM$8:AM$198,B27,'续 '!$BJ$8:$BJ$198)</f>
        <v>0</v>
      </c>
      <c r="Y27" s="376">
        <f>COUNTIF(竣!AM$8:AM$130,B27)</f>
        <v>1</v>
      </c>
      <c r="Z27" s="376">
        <f>SUMIF(竣!AM$8:AM$130,B27,竣!$F$8:$F$130)</f>
        <v>8165</v>
      </c>
      <c r="AA27" s="376">
        <f>SUMIF(竣!AM$8:AM$130,B27,竣!$G$8:$G$130)</f>
        <v>2005</v>
      </c>
      <c r="AB27" s="376">
        <f>SUMIF(竣!AM$8:AM$130,B27,竣!$L$8:$L$130)</f>
        <v>6160</v>
      </c>
      <c r="AC27" s="402">
        <f t="shared" si="12"/>
        <v>0.401041666666667</v>
      </c>
      <c r="AD27" s="376">
        <f>SUMIF(竣!AM$8:AM$130,B27,竣!$O$8:$O$130)</f>
        <v>0</v>
      </c>
      <c r="AE27" s="402">
        <f t="shared" si="13"/>
        <v>0</v>
      </c>
      <c r="AF27" s="376">
        <f>SUMIF(竣!AM$8:AM$130,B27,竣!$BK$8:$BK$130)</f>
        <v>0</v>
      </c>
      <c r="AG27" s="371">
        <f t="shared" si="14"/>
        <v>0</v>
      </c>
      <c r="AH27" s="438"/>
      <c r="AI27" s="438"/>
      <c r="AJ27" s="438"/>
      <c r="AK27" s="438"/>
      <c r="AM27" s="335"/>
      <c r="AN27" s="338"/>
    </row>
    <row r="28" s="334" customFormat="1" ht="24.95" customHeight="1" spans="1:40">
      <c r="A28" s="374"/>
      <c r="B28" s="375" t="s">
        <v>2755</v>
      </c>
      <c r="C28" s="379">
        <f t="shared" si="36"/>
        <v>0</v>
      </c>
      <c r="D28" s="376">
        <f t="shared" si="37"/>
        <v>0</v>
      </c>
      <c r="E28" s="376">
        <f t="shared" si="38"/>
        <v>0</v>
      </c>
      <c r="F28" s="379">
        <f t="shared" si="31"/>
        <v>0</v>
      </c>
      <c r="G28" s="377">
        <f t="shared" si="19"/>
        <v>0</v>
      </c>
      <c r="H28" s="371" t="e">
        <f t="shared" si="17"/>
        <v>#DIV/0!</v>
      </c>
      <c r="I28" s="376">
        <f>COUNTIF(开!$AU$8:$AU$213,B28)</f>
        <v>0</v>
      </c>
      <c r="J28" s="376">
        <f>SUMIF(开!$AU$8:$AU$213,B28,开!$F$8:$F$213)</f>
        <v>0</v>
      </c>
      <c r="K28" s="376">
        <f>SUMIF(开!$AU$8:$AU$213,B28,开!$L$8:$L$213)</f>
        <v>0</v>
      </c>
      <c r="L28" s="402" t="e">
        <f t="shared" si="6"/>
        <v>#DIV/0!</v>
      </c>
      <c r="M28" s="376">
        <f>SUMIF(开!$AU$8:$AU$213,B28,开!$P$8:$P$213)</f>
        <v>0</v>
      </c>
      <c r="N28" s="402" t="e">
        <f t="shared" si="7"/>
        <v>#DIV/0!</v>
      </c>
      <c r="O28" s="376">
        <f>SUMIF(开!$AU$8:$AU$213,B28,开!$BO$8:$BO$213)</f>
        <v>0</v>
      </c>
      <c r="P28" s="371" t="e">
        <f t="shared" si="8"/>
        <v>#DIV/0!</v>
      </c>
      <c r="Q28" s="376">
        <f>COUNTIF('续 '!AM$8:AM$198,B28)</f>
        <v>0</v>
      </c>
      <c r="R28" s="376">
        <f>SUMIF('续 '!AM$8:AM$198,B28,'续 '!$F$8:$F$198)</f>
        <v>0</v>
      </c>
      <c r="S28" s="376">
        <f>SUMIF('续 '!AM$8:AM$198,B28,'续 '!$G$8:$G$198)</f>
        <v>0</v>
      </c>
      <c r="T28" s="376">
        <f>SUMIF('续 '!AM$8:AM$198,B28,'续 '!$L$8:$L$198)</f>
        <v>0</v>
      </c>
      <c r="U28" s="402" t="e">
        <f t="shared" si="10"/>
        <v>#DIV/0!</v>
      </c>
      <c r="V28" s="376">
        <f>SUMIF('续 '!AM$8:AM$198,B28,'续 '!$O$8:$O$198)</f>
        <v>0</v>
      </c>
      <c r="W28" s="402" t="e">
        <f t="shared" si="11"/>
        <v>#DIV/0!</v>
      </c>
      <c r="X28" s="376">
        <f>SUMIF('续 '!AM$8:AM$198,B28,'续 '!$BJ$8:$BJ$198)</f>
        <v>0</v>
      </c>
      <c r="Y28" s="376">
        <f>COUNTIF(竣!AM$8:AM$130,B28)</f>
        <v>0</v>
      </c>
      <c r="Z28" s="376">
        <f>SUMIF(竣!AM$8:AM$130,B28,竣!$F$8:$F$130)</f>
        <v>0</v>
      </c>
      <c r="AA28" s="376">
        <f>SUMIF(竣!AM$8:AM$130,B28,竣!$G$8:$G$130)</f>
        <v>0</v>
      </c>
      <c r="AB28" s="376">
        <f>SUMIF(竣!AM$8:AM$130,B28,竣!$L$8:$L$130)</f>
        <v>0</v>
      </c>
      <c r="AC28" s="402" t="e">
        <f t="shared" si="12"/>
        <v>#DIV/0!</v>
      </c>
      <c r="AD28" s="376">
        <f>SUMIF(竣!AM$8:AM$130,B28,竣!$O$8:$O$130)</f>
        <v>0</v>
      </c>
      <c r="AE28" s="402" t="e">
        <f t="shared" si="13"/>
        <v>#DIV/0!</v>
      </c>
      <c r="AF28" s="376">
        <f>SUMIF(竣!AM$8:AM$130,B28,竣!$BK$8:$BK$130)</f>
        <v>0</v>
      </c>
      <c r="AG28" s="371" t="e">
        <f t="shared" si="14"/>
        <v>#DIV/0!</v>
      </c>
      <c r="AH28" s="438"/>
      <c r="AI28" s="438"/>
      <c r="AJ28" s="438"/>
      <c r="AK28" s="438"/>
      <c r="AM28" s="335"/>
      <c r="AN28" s="338"/>
    </row>
    <row r="29" s="334" customFormat="1" ht="35.1" customHeight="1" spans="1:40">
      <c r="A29" s="374">
        <v>13</v>
      </c>
      <c r="B29" s="375" t="s">
        <v>1144</v>
      </c>
      <c r="C29" s="379">
        <f t="shared" si="36"/>
        <v>1</v>
      </c>
      <c r="D29" s="376">
        <f t="shared" si="37"/>
        <v>86000</v>
      </c>
      <c r="E29" s="376">
        <f t="shared" si="38"/>
        <v>15000</v>
      </c>
      <c r="F29" s="379">
        <f t="shared" si="31"/>
        <v>40000</v>
      </c>
      <c r="G29" s="377">
        <f t="shared" si="19"/>
        <v>0</v>
      </c>
      <c r="H29" s="371">
        <f t="shared" si="17"/>
        <v>0</v>
      </c>
      <c r="I29" s="376">
        <f>COUNTIF(开!$AU$8:$AU$213,B29)</f>
        <v>0</v>
      </c>
      <c r="J29" s="376">
        <f>SUMIF(开!$AU$8:$AU$213,B29,开!$F$8:$F$213)</f>
        <v>0</v>
      </c>
      <c r="K29" s="376">
        <f>SUMIF(开!$AU$8:$AU$213,B29,开!$L$8:$L$213)</f>
        <v>0</v>
      </c>
      <c r="L29" s="402">
        <f t="shared" si="6"/>
        <v>0</v>
      </c>
      <c r="M29" s="376">
        <f>SUMIF(开!$AU$8:$AU$213,B29,开!$P$8:$P$213)</f>
        <v>0</v>
      </c>
      <c r="N29" s="402" t="e">
        <f t="shared" si="7"/>
        <v>#DIV/0!</v>
      </c>
      <c r="O29" s="376">
        <f>SUMIF(开!$AU$8:$AU$213,B29,开!$BO$8:$BO$213)</f>
        <v>0</v>
      </c>
      <c r="P29" s="371" t="e">
        <f t="shared" si="8"/>
        <v>#DIV/0!</v>
      </c>
      <c r="Q29" s="376">
        <f>COUNTIF('续 '!AM$8:AM$198,B29)</f>
        <v>1</v>
      </c>
      <c r="R29" s="376">
        <f>SUMIF('续 '!AM$8:AM$198,B29,'续 '!$F$8:$F$198)</f>
        <v>86000</v>
      </c>
      <c r="S29" s="376">
        <f>SUMIF('续 '!AM$8:AM$198,B29,'续 '!$G$8:$G$198)</f>
        <v>15000</v>
      </c>
      <c r="T29" s="376">
        <f>SUMIF('续 '!AM$8:AM$198,B29,'续 '!$L$8:$L$198)</f>
        <v>40000</v>
      </c>
      <c r="U29" s="402">
        <f t="shared" si="10"/>
        <v>1</v>
      </c>
      <c r="V29" s="376">
        <f>SUMIF('续 '!AM$8:AM$198,B29,'续 '!$O$8:$O$198)</f>
        <v>0</v>
      </c>
      <c r="W29" s="402">
        <f t="shared" si="11"/>
        <v>0</v>
      </c>
      <c r="X29" s="376">
        <f>SUMIF('续 '!AM$8:AM$198,B29,'续 '!$BJ$8:$BJ$198)</f>
        <v>0</v>
      </c>
      <c r="Y29" s="376">
        <f>COUNTIF(竣!AM$8:AM$130,B29)</f>
        <v>0</v>
      </c>
      <c r="Z29" s="376">
        <f>SUMIF(竣!AM$8:AM$130,B29,竣!$F$8:$F$130)</f>
        <v>0</v>
      </c>
      <c r="AA29" s="376">
        <f>SUMIF(竣!AM$8:AM$130,B29,竣!$G$8:$G$130)</f>
        <v>0</v>
      </c>
      <c r="AB29" s="376">
        <f>SUMIF(竣!AM$8:AM$130,B29,竣!$L$8:$L$130)</f>
        <v>0</v>
      </c>
      <c r="AC29" s="402"/>
      <c r="AD29" s="376"/>
      <c r="AE29" s="402"/>
      <c r="AF29" s="376"/>
      <c r="AG29" s="371"/>
      <c r="AH29" s="438"/>
      <c r="AI29" s="438"/>
      <c r="AJ29" s="438"/>
      <c r="AK29" s="438"/>
      <c r="AM29" s="335"/>
      <c r="AN29" s="338"/>
    </row>
    <row r="30" s="334" customFormat="1" ht="24.95" customHeight="1" spans="1:40">
      <c r="A30" s="374"/>
      <c r="B30" s="375" t="s">
        <v>2756</v>
      </c>
      <c r="C30" s="379">
        <f t="shared" si="36"/>
        <v>0</v>
      </c>
      <c r="D30" s="376">
        <f t="shared" si="37"/>
        <v>0</v>
      </c>
      <c r="E30" s="376">
        <f t="shared" si="38"/>
        <v>0</v>
      </c>
      <c r="F30" s="379">
        <f t="shared" si="31"/>
        <v>0</v>
      </c>
      <c r="G30" s="377">
        <f t="shared" si="19"/>
        <v>0</v>
      </c>
      <c r="H30" s="371" t="e">
        <f t="shared" si="17"/>
        <v>#DIV/0!</v>
      </c>
      <c r="I30" s="376">
        <f>COUNTIF(开!$AU$8:$AU$213,B30)</f>
        <v>0</v>
      </c>
      <c r="J30" s="376">
        <f>SUMIF(开!$AU$8:$AU$213,B30,开!$F$8:$F$213)</f>
        <v>0</v>
      </c>
      <c r="K30" s="376">
        <f>SUMIF(开!$AU$8:$AU$213,B30,开!$L$8:$L$213)</f>
        <v>0</v>
      </c>
      <c r="L30" s="402" t="e">
        <f t="shared" si="6"/>
        <v>#DIV/0!</v>
      </c>
      <c r="M30" s="376">
        <f>SUMIF(开!$AU$8:$AU$213,B30,开!$P$8:$P$213)</f>
        <v>0</v>
      </c>
      <c r="N30" s="402" t="e">
        <f t="shared" si="7"/>
        <v>#DIV/0!</v>
      </c>
      <c r="O30" s="376">
        <f>SUMIF(开!$AU$8:$AU$213,B30,开!$BO$8:$BO$213)</f>
        <v>0</v>
      </c>
      <c r="P30" s="371" t="e">
        <f t="shared" si="8"/>
        <v>#DIV/0!</v>
      </c>
      <c r="Q30" s="376">
        <f>COUNTIF('续 '!AM$8:AM$198,B30)</f>
        <v>0</v>
      </c>
      <c r="R30" s="376">
        <f>SUMIF('续 '!AM$8:AM$198,B30,'续 '!$F$8:$F$198)</f>
        <v>0</v>
      </c>
      <c r="S30" s="376">
        <f>SUMIF('续 '!AM$8:AM$198,B30,'续 '!$G$8:$G$198)</f>
        <v>0</v>
      </c>
      <c r="T30" s="376">
        <f>SUMIF('续 '!AM$8:AM$198,B30,'续 '!$L$8:$L$198)</f>
        <v>0</v>
      </c>
      <c r="U30" s="402" t="e">
        <f t="shared" si="10"/>
        <v>#DIV/0!</v>
      </c>
      <c r="V30" s="376">
        <f>SUMIF('续 '!AM$8:AM$198,B30,'续 '!$O$8:$O$198)</f>
        <v>0</v>
      </c>
      <c r="W30" s="402" t="e">
        <f t="shared" si="11"/>
        <v>#DIV/0!</v>
      </c>
      <c r="X30" s="376">
        <f>SUMIF('续 '!AM$8:AM$198,B30,'续 '!$BJ$8:$BJ$198)</f>
        <v>0</v>
      </c>
      <c r="Y30" s="376">
        <f>COUNTIF(竣!AM$8:AM$130,B30)</f>
        <v>0</v>
      </c>
      <c r="Z30" s="376">
        <f>SUMIF(竣!AM$8:AM$130,B30,竣!$F$8:$F$130)</f>
        <v>0</v>
      </c>
      <c r="AA30" s="376">
        <f>SUMIF(竣!AM$8:AM$130,B30,竣!$G$8:$G$130)</f>
        <v>0</v>
      </c>
      <c r="AB30" s="376">
        <f>SUMIF(竣!AM$8:AM$130,B30,竣!$L$8:$L$130)</f>
        <v>0</v>
      </c>
      <c r="AC30" s="402" t="e">
        <f>AB30/F30</f>
        <v>#DIV/0!</v>
      </c>
      <c r="AD30" s="376">
        <f>SUMIF(竣!AM$8:AM$130,B30,竣!$O$8:$O$130)</f>
        <v>0</v>
      </c>
      <c r="AE30" s="402" t="e">
        <f>AD30/AB30</f>
        <v>#DIV/0!</v>
      </c>
      <c r="AF30" s="376">
        <f>SUMIF(竣!AM$8:AM$130,B30,竣!$BK$8:$BK$130)</f>
        <v>0</v>
      </c>
      <c r="AG30" s="371" t="e">
        <f>AF30/Y30</f>
        <v>#DIV/0!</v>
      </c>
      <c r="AH30" s="438"/>
      <c r="AI30" s="438"/>
      <c r="AJ30" s="438"/>
      <c r="AK30" s="438"/>
      <c r="AM30" s="335"/>
      <c r="AN30" s="338"/>
    </row>
    <row r="31" s="334" customFormat="1" ht="35.1" customHeight="1" spans="1:40">
      <c r="A31" s="374"/>
      <c r="B31" s="375" t="s">
        <v>2757</v>
      </c>
      <c r="C31" s="379">
        <f t="shared" si="36"/>
        <v>0</v>
      </c>
      <c r="D31" s="376">
        <f t="shared" si="37"/>
        <v>0</v>
      </c>
      <c r="E31" s="376">
        <f t="shared" si="38"/>
        <v>0</v>
      </c>
      <c r="F31" s="379">
        <f t="shared" si="31"/>
        <v>0</v>
      </c>
      <c r="G31" s="377">
        <f t="shared" si="19"/>
        <v>0</v>
      </c>
      <c r="H31" s="371" t="e">
        <f t="shared" si="17"/>
        <v>#DIV/0!</v>
      </c>
      <c r="I31" s="376">
        <f>COUNTIF(开!$AU$8:$AU$213,B31)</f>
        <v>0</v>
      </c>
      <c r="J31" s="376">
        <f>SUMIF(开!$AU$8:$AU$213,B31,开!$F$8:$F$213)</f>
        <v>0</v>
      </c>
      <c r="K31" s="376">
        <f>SUMIF(开!$AU$8:$AU$213,B31,开!$L$8:$L$213)</f>
        <v>0</v>
      </c>
      <c r="L31" s="402" t="e">
        <f t="shared" si="6"/>
        <v>#DIV/0!</v>
      </c>
      <c r="M31" s="376">
        <f>SUMIF(开!$AU$8:$AU$213,B31,开!$P$8:$P$213)</f>
        <v>0</v>
      </c>
      <c r="N31" s="402" t="e">
        <f t="shared" si="7"/>
        <v>#DIV/0!</v>
      </c>
      <c r="O31" s="376">
        <f>SUMIF(开!$AU$8:$AU$213,B31,开!$BO$8:$BO$213)</f>
        <v>0</v>
      </c>
      <c r="P31" s="371" t="e">
        <f t="shared" si="8"/>
        <v>#DIV/0!</v>
      </c>
      <c r="Q31" s="376">
        <f>COUNTIF('续 '!AM$8:AM$198,B31)</f>
        <v>0</v>
      </c>
      <c r="R31" s="376">
        <f>SUMIF('续 '!AM$8:AM$198,B31,'续 '!$F$8:$F$198)</f>
        <v>0</v>
      </c>
      <c r="S31" s="376">
        <f>SUMIF('续 '!AM$8:AM$198,B31,'续 '!$G$8:$G$198)</f>
        <v>0</v>
      </c>
      <c r="T31" s="376">
        <f>SUMIF('续 '!AM$8:AM$198,B31,'续 '!$L$8:$L$198)</f>
        <v>0</v>
      </c>
      <c r="U31" s="402" t="e">
        <f t="shared" si="10"/>
        <v>#DIV/0!</v>
      </c>
      <c r="V31" s="376">
        <f>SUMIF('续 '!AM$8:AM$198,B31,'续 '!$O$8:$O$198)</f>
        <v>0</v>
      </c>
      <c r="W31" s="402" t="e">
        <f t="shared" si="11"/>
        <v>#DIV/0!</v>
      </c>
      <c r="X31" s="376">
        <f>SUMIF('续 '!AM$8:AM$198,B31,'续 '!$BJ$8:$BJ$198)</f>
        <v>0</v>
      </c>
      <c r="Y31" s="376">
        <f>COUNTIF(竣!AM$8:AM$130,B31)</f>
        <v>0</v>
      </c>
      <c r="Z31" s="376">
        <f>SUMIF(竣!AM$8:AM$130,B31,竣!$F$8:$F$130)</f>
        <v>0</v>
      </c>
      <c r="AA31" s="376">
        <f>SUMIF(竣!AM$8:AM$130,B31,竣!$G$8:$G$130)</f>
        <v>0</v>
      </c>
      <c r="AB31" s="376">
        <f>SUMIF(竣!AM$8:AM$130,B31,竣!$L$8:$L$130)</f>
        <v>0</v>
      </c>
      <c r="AC31" s="402" t="e">
        <f>AB31/F31</f>
        <v>#DIV/0!</v>
      </c>
      <c r="AD31" s="376">
        <f>SUMIF(竣!AM$8:AM$130,B31,竣!$O$8:$O$130)</f>
        <v>0</v>
      </c>
      <c r="AE31" s="402" t="e">
        <f>AD31/AB31</f>
        <v>#DIV/0!</v>
      </c>
      <c r="AF31" s="376">
        <f>SUMIF(竣!AM$8:AM$130,B31,竣!$BK$8:$BK$130)</f>
        <v>0</v>
      </c>
      <c r="AG31" s="371" t="e">
        <f>AF31/Y31</f>
        <v>#DIV/0!</v>
      </c>
      <c r="AH31" s="438"/>
      <c r="AI31" s="438"/>
      <c r="AJ31" s="438"/>
      <c r="AK31" s="438"/>
      <c r="AM31" s="335"/>
      <c r="AN31" s="338"/>
    </row>
    <row r="32" s="334" customFormat="1" ht="35.25" customHeight="1" spans="1:40">
      <c r="A32" s="374"/>
      <c r="B32" s="375" t="s">
        <v>2758</v>
      </c>
      <c r="C32" s="379">
        <f t="shared" si="36"/>
        <v>0</v>
      </c>
      <c r="D32" s="376">
        <f t="shared" si="37"/>
        <v>0</v>
      </c>
      <c r="E32" s="376">
        <f t="shared" ref="E32:E38" si="39">S32+AA32</f>
        <v>0</v>
      </c>
      <c r="F32" s="379">
        <f t="shared" ref="F32:F38" si="40">K32+T32+AB32</f>
        <v>0</v>
      </c>
      <c r="G32" s="377">
        <f t="shared" si="19"/>
        <v>0</v>
      </c>
      <c r="H32" s="371" t="e">
        <f t="shared" si="17"/>
        <v>#DIV/0!</v>
      </c>
      <c r="I32" s="376">
        <f>COUNTIF(开!$AU$8:$AU$213,B32)</f>
        <v>0</v>
      </c>
      <c r="J32" s="376">
        <f>SUMIF(开!$AU$8:$AU$213,B32,开!$F$8:$F$213)</f>
        <v>0</v>
      </c>
      <c r="K32" s="376">
        <f>SUMIF(开!$AU$8:$AU$213,B32,开!$L$8:$L$213)</f>
        <v>0</v>
      </c>
      <c r="L32" s="402" t="e">
        <f t="shared" si="6"/>
        <v>#DIV/0!</v>
      </c>
      <c r="M32" s="376">
        <f>SUMIF(开!$AU$8:$AU$213,B32,开!$P$8:$P$213)</f>
        <v>0</v>
      </c>
      <c r="N32" s="402" t="e">
        <f t="shared" si="7"/>
        <v>#DIV/0!</v>
      </c>
      <c r="O32" s="376">
        <f>SUMIF(开!$AU$8:$AU$213,B32,开!$BO$8:$BO$213)</f>
        <v>0</v>
      </c>
      <c r="P32" s="371" t="e">
        <f t="shared" si="8"/>
        <v>#DIV/0!</v>
      </c>
      <c r="Q32" s="376">
        <f>COUNTIF('续 '!AM$8:AM$198,B32)</f>
        <v>0</v>
      </c>
      <c r="R32" s="376">
        <f>SUMIF('续 '!AM$8:AM$198,B32,'续 '!$F$8:$F$198)</f>
        <v>0</v>
      </c>
      <c r="S32" s="376">
        <f>SUMIF('续 '!AM$8:AM$198,B32,'续 '!$G$8:$G$198)</f>
        <v>0</v>
      </c>
      <c r="T32" s="376">
        <f>SUMIF('续 '!AM$8:AM$198,B32,'续 '!$L$8:$L$198)</f>
        <v>0</v>
      </c>
      <c r="U32" s="402" t="e">
        <f t="shared" si="10"/>
        <v>#DIV/0!</v>
      </c>
      <c r="V32" s="376">
        <f>SUMIF('续 '!AM$8:AM$198,B32,'续 '!$O$8:$O$198)</f>
        <v>0</v>
      </c>
      <c r="W32" s="402" t="e">
        <f t="shared" si="11"/>
        <v>#DIV/0!</v>
      </c>
      <c r="X32" s="376">
        <f>SUMIF('续 '!AM$8:AM$198,B32,'续 '!$BJ$8:$BJ$198)</f>
        <v>0</v>
      </c>
      <c r="Y32" s="376">
        <f>COUNTIF(竣!AM$8:AM$130,B32)</f>
        <v>0</v>
      </c>
      <c r="Z32" s="376">
        <f>SUMIF(竣!AM$8:AM$130,B32,竣!$F$8:$F$130)</f>
        <v>0</v>
      </c>
      <c r="AA32" s="376">
        <f>SUMIF(竣!AM$8:AM$130,B32,竣!$G$8:$G$130)</f>
        <v>0</v>
      </c>
      <c r="AB32" s="376">
        <f>SUMIF(竣!AM$8:AM$130,B32,竣!$L$8:$L$130)</f>
        <v>0</v>
      </c>
      <c r="AC32" s="402" t="e">
        <f t="shared" si="12"/>
        <v>#DIV/0!</v>
      </c>
      <c r="AD32" s="384">
        <f>SUMIF(竣!AM$8:AM$130,B32,竣!$O$8:$O$130)</f>
        <v>0</v>
      </c>
      <c r="AE32" s="402" t="e">
        <f t="shared" si="13"/>
        <v>#DIV/0!</v>
      </c>
      <c r="AF32" s="384">
        <f>SUMIF(竣!AM$8:AM$130,B32,竣!$BK$8:$BK$130)</f>
        <v>0</v>
      </c>
      <c r="AG32" s="371" t="e">
        <f t="shared" si="14"/>
        <v>#DIV/0!</v>
      </c>
      <c r="AH32" s="438"/>
      <c r="AI32" s="438"/>
      <c r="AJ32" s="438"/>
      <c r="AK32" s="438"/>
      <c r="AM32" s="335"/>
      <c r="AN32" s="338"/>
    </row>
    <row r="33" s="334" customFormat="1" ht="35.25" customHeight="1" spans="1:40">
      <c r="A33" s="374"/>
      <c r="B33" s="375" t="s">
        <v>2759</v>
      </c>
      <c r="C33" s="379">
        <f t="shared" si="36"/>
        <v>0</v>
      </c>
      <c r="D33" s="376">
        <f t="shared" si="37"/>
        <v>0</v>
      </c>
      <c r="E33" s="376">
        <f t="shared" si="39"/>
        <v>0</v>
      </c>
      <c r="F33" s="379">
        <f t="shared" si="40"/>
        <v>0</v>
      </c>
      <c r="G33" s="377">
        <f t="shared" si="19"/>
        <v>0</v>
      </c>
      <c r="H33" s="371" t="e">
        <f t="shared" si="17"/>
        <v>#DIV/0!</v>
      </c>
      <c r="I33" s="376">
        <f>COUNTIF(开!$AU$8:$AU$213,B33)</f>
        <v>0</v>
      </c>
      <c r="J33" s="376">
        <f>SUMIF(开!$AU$8:$AU$213,B33,开!$F$8:$F$213)</f>
        <v>0</v>
      </c>
      <c r="K33" s="376">
        <f>SUMIF(开!$AU$8:$AU$213,B33,开!$L$8:$L$213)</f>
        <v>0</v>
      </c>
      <c r="L33" s="402" t="e">
        <f t="shared" si="6"/>
        <v>#DIV/0!</v>
      </c>
      <c r="M33" s="376">
        <f>SUMIF(开!$AU$8:$AU$213,B33,开!$P$8:$P$213)</f>
        <v>0</v>
      </c>
      <c r="N33" s="402" t="e">
        <f t="shared" si="7"/>
        <v>#DIV/0!</v>
      </c>
      <c r="O33" s="376">
        <f>SUMIF(开!$AU$8:$AU$213,B33,开!$BO$8:$BO$213)</f>
        <v>0</v>
      </c>
      <c r="P33" s="371" t="e">
        <f t="shared" si="8"/>
        <v>#DIV/0!</v>
      </c>
      <c r="Q33" s="376">
        <f>COUNTIF('续 '!AM$8:AM$198,B33)</f>
        <v>0</v>
      </c>
      <c r="R33" s="376">
        <f>SUMIF('续 '!AM$8:AM$198,B33,'续 '!$F$8:$F$198)</f>
        <v>0</v>
      </c>
      <c r="S33" s="376">
        <f>SUMIF('续 '!AM$8:AM$198,B33,'续 '!$G$8:$G$198)</f>
        <v>0</v>
      </c>
      <c r="T33" s="376">
        <f>SUMIF('续 '!AM$8:AM$198,B33,'续 '!$L$8:$L$198)</f>
        <v>0</v>
      </c>
      <c r="U33" s="402" t="e">
        <f t="shared" si="10"/>
        <v>#DIV/0!</v>
      </c>
      <c r="V33" s="376">
        <f>SUMIF('续 '!AM$8:AM$198,B33,'续 '!$O$8:$O$198)</f>
        <v>0</v>
      </c>
      <c r="W33" s="402" t="e">
        <f t="shared" si="11"/>
        <v>#DIV/0!</v>
      </c>
      <c r="X33" s="376">
        <f>SUMIF('续 '!AM$8:AM$198,B33,'续 '!$BJ$8:$BJ$198)</f>
        <v>0</v>
      </c>
      <c r="Y33" s="376">
        <f>COUNTIF(竣!AM$8:AM$130,B33)</f>
        <v>0</v>
      </c>
      <c r="Z33" s="376">
        <f>SUMIF(竣!AM$8:AM$130,B33,竣!$F$8:$F$130)</f>
        <v>0</v>
      </c>
      <c r="AA33" s="376">
        <f>SUMIF(竣!AM$8:AM$130,B33,竣!$G$8:$G$130)</f>
        <v>0</v>
      </c>
      <c r="AB33" s="376">
        <f>SUMIF(竣!AM$8:AM$130,B33,竣!$L$8:$L$130)</f>
        <v>0</v>
      </c>
      <c r="AC33" s="402"/>
      <c r="AD33" s="384"/>
      <c r="AE33" s="402"/>
      <c r="AF33" s="384"/>
      <c r="AG33" s="371"/>
      <c r="AH33" s="438"/>
      <c r="AI33" s="438"/>
      <c r="AJ33" s="438"/>
      <c r="AK33" s="438"/>
      <c r="AM33" s="335"/>
      <c r="AN33" s="338"/>
    </row>
    <row r="34" s="334" customFormat="1" ht="35.1" customHeight="1" spans="1:40">
      <c r="A34" s="374">
        <v>14</v>
      </c>
      <c r="B34" s="375" t="s">
        <v>1107</v>
      </c>
      <c r="C34" s="379">
        <f t="shared" si="36"/>
        <v>4</v>
      </c>
      <c r="D34" s="376">
        <f t="shared" si="37"/>
        <v>469854</v>
      </c>
      <c r="E34" s="376">
        <f t="shared" si="39"/>
        <v>169674</v>
      </c>
      <c r="F34" s="379">
        <f t="shared" si="40"/>
        <v>79369</v>
      </c>
      <c r="G34" s="377">
        <f t="shared" si="19"/>
        <v>0</v>
      </c>
      <c r="H34" s="371">
        <f t="shared" si="17"/>
        <v>0</v>
      </c>
      <c r="I34" s="376">
        <f>COUNTIF(开!$AU$8:$AU$213,B34)</f>
        <v>1</v>
      </c>
      <c r="J34" s="376">
        <f>SUMIF(开!$AU$8:$AU$213,B34,开!$F$8:$F$213)</f>
        <v>117370</v>
      </c>
      <c r="K34" s="376">
        <f>SUMIF(开!$AU$8:$AU$213,B34,开!$L$8:$L$213)</f>
        <v>10000</v>
      </c>
      <c r="L34" s="402">
        <f t="shared" si="6"/>
        <v>0.12599377590747</v>
      </c>
      <c r="M34" s="376">
        <f>SUMIF(开!$AU$8:$AU$213,B34,开!$P$8:$P$213)</f>
        <v>0</v>
      </c>
      <c r="N34" s="402">
        <f t="shared" si="7"/>
        <v>0</v>
      </c>
      <c r="O34" s="376">
        <f>SUMIF(开!$AU$8:$AU$213,B34,开!$BO$8:$BO$213)</f>
        <v>0</v>
      </c>
      <c r="P34" s="371">
        <f t="shared" si="8"/>
        <v>0</v>
      </c>
      <c r="Q34" s="376">
        <f>COUNTIF('续 '!AM$8:AM$198,B34)</f>
        <v>2</v>
      </c>
      <c r="R34" s="376">
        <f>SUMIF('续 '!AM$8:AM$198,B34,'续 '!$F$8:$F$198)</f>
        <v>174483</v>
      </c>
      <c r="S34" s="376">
        <f>SUMIF('续 '!AM$8:AM$198,B34,'续 '!$G$8:$G$198)</f>
        <v>39042</v>
      </c>
      <c r="T34" s="376">
        <f>SUMIF('续 '!AM$8:AM$198,B34,'续 '!$L$8:$L$198)</f>
        <v>22000</v>
      </c>
      <c r="U34" s="402">
        <f t="shared" si="10"/>
        <v>0.277186306996434</v>
      </c>
      <c r="V34" s="376">
        <f>SUMIF('续 '!AM$8:AM$198,B34,'续 '!$O$8:$O$198)</f>
        <v>0</v>
      </c>
      <c r="W34" s="402">
        <f t="shared" si="11"/>
        <v>0</v>
      </c>
      <c r="X34" s="376">
        <f>SUMIF('续 '!AM$8:AM$198,B34,'续 '!$BJ$8:$BJ$198)</f>
        <v>0</v>
      </c>
      <c r="Y34" s="376">
        <f>COUNTIF(竣!AM$8:AM$130,B34)</f>
        <v>1</v>
      </c>
      <c r="Z34" s="376">
        <f>SUMIF(竣!AM$8:AM$130,B34,竣!$F$8:$F$130)</f>
        <v>178001</v>
      </c>
      <c r="AA34" s="376">
        <f>SUMIF(竣!AM$8:AM$130,B34,竣!$G$8:$G$130)</f>
        <v>130632</v>
      </c>
      <c r="AB34" s="376">
        <f>SUMIF(竣!AM$8:AM$130,B34,竣!$L$8:$L$130)</f>
        <v>47369</v>
      </c>
      <c r="AC34" s="402">
        <f t="shared" si="12"/>
        <v>0.596819917096095</v>
      </c>
      <c r="AD34" s="376">
        <f>SUMIF(竣!AM$8:AM$130,B34,竣!$O$8:$O$130)</f>
        <v>0</v>
      </c>
      <c r="AE34" s="402">
        <f t="shared" si="13"/>
        <v>0</v>
      </c>
      <c r="AF34" s="376">
        <f>SUMIF(竣!AM$8:AM$130,B34,竣!$BK$8:$BK$130)</f>
        <v>0</v>
      </c>
      <c r="AG34" s="371">
        <f t="shared" si="14"/>
        <v>0</v>
      </c>
      <c r="AH34" s="438"/>
      <c r="AI34" s="438"/>
      <c r="AJ34" s="438"/>
      <c r="AK34" s="438"/>
      <c r="AM34" s="335"/>
      <c r="AN34" s="338"/>
    </row>
    <row r="35" s="334" customFormat="1" ht="24.95" customHeight="1" spans="1:40">
      <c r="A35" s="374">
        <v>15</v>
      </c>
      <c r="B35" s="375" t="s">
        <v>88</v>
      </c>
      <c r="C35" s="379">
        <f t="shared" si="36"/>
        <v>3</v>
      </c>
      <c r="D35" s="376">
        <f t="shared" si="37"/>
        <v>5580000</v>
      </c>
      <c r="E35" s="376">
        <f t="shared" si="39"/>
        <v>0</v>
      </c>
      <c r="F35" s="379">
        <f t="shared" si="40"/>
        <v>90000</v>
      </c>
      <c r="G35" s="377">
        <f t="shared" si="19"/>
        <v>0</v>
      </c>
      <c r="H35" s="371">
        <f t="shared" si="17"/>
        <v>0</v>
      </c>
      <c r="I35" s="376">
        <f>COUNTIF(开!$AU$8:$AU$213,B35)</f>
        <v>3</v>
      </c>
      <c r="J35" s="376">
        <f>SUMIF(开!$AU$8:$AU$213,B35,开!$F$8:$F$213)</f>
        <v>5580000</v>
      </c>
      <c r="K35" s="376">
        <f>SUMIF(开!$AU$8:$AU$213,B35,开!$L$8:$L$213)</f>
        <v>90000</v>
      </c>
      <c r="L35" s="402">
        <f t="shared" si="6"/>
        <v>1</v>
      </c>
      <c r="M35" s="376">
        <f>SUMIF(开!$AU$8:$AU$213,B35,开!$P$8:$P$213)</f>
        <v>0</v>
      </c>
      <c r="N35" s="402">
        <f t="shared" si="7"/>
        <v>0</v>
      </c>
      <c r="O35" s="376">
        <f>SUMIF(开!$AU$8:$AU$213,B35,开!$BO$8:$BO$213)</f>
        <v>0</v>
      </c>
      <c r="P35" s="371">
        <f t="shared" si="8"/>
        <v>0</v>
      </c>
      <c r="Q35" s="376">
        <f>COUNTIF('续 '!AM$8:AM$198,B35)</f>
        <v>0</v>
      </c>
      <c r="R35" s="376">
        <f>SUMIF('续 '!AM$8:AM$198,B35,'续 '!$F$8:$F$198)</f>
        <v>0</v>
      </c>
      <c r="S35" s="376">
        <f>SUMIF('续 '!AM$8:AM$198,B35,'续 '!$G$8:$G$198)</f>
        <v>0</v>
      </c>
      <c r="T35" s="376">
        <f>SUMIF('续 '!AM$8:AM$198,B35,'续 '!$L$8:$L$198)</f>
        <v>0</v>
      </c>
      <c r="U35" s="402">
        <f t="shared" si="10"/>
        <v>0</v>
      </c>
      <c r="V35" s="376">
        <f>SUMIF('续 '!AM$8:AM$198,B35,'续 '!$O$8:$O$198)</f>
        <v>0</v>
      </c>
      <c r="W35" s="402" t="e">
        <f t="shared" si="11"/>
        <v>#DIV/0!</v>
      </c>
      <c r="X35" s="376">
        <f>SUMIF('续 '!AM$8:AM$198,B35,'续 '!$BJ$8:$BJ$198)</f>
        <v>0</v>
      </c>
      <c r="Y35" s="376">
        <f>COUNTIF(竣!AM$8:AM$130,B35)</f>
        <v>0</v>
      </c>
      <c r="Z35" s="376">
        <f>SUMIF(竣!AM$8:AM$130,B35,竣!$F$8:$F$130)</f>
        <v>0</v>
      </c>
      <c r="AA35" s="376">
        <f>SUMIF(竣!AM$8:AM$130,B35,竣!$G$8:$G$130)</f>
        <v>0</v>
      </c>
      <c r="AB35" s="376">
        <f>SUMIF(竣!AM$8:AM$130,B35,竣!$L$8:$L$130)</f>
        <v>0</v>
      </c>
      <c r="AC35" s="402">
        <f t="shared" si="12"/>
        <v>0</v>
      </c>
      <c r="AD35" s="376">
        <f>SUMIF(竣!AM$8:AM$130,B35,竣!$O$8:$O$130)</f>
        <v>0</v>
      </c>
      <c r="AE35" s="402" t="e">
        <f t="shared" si="13"/>
        <v>#DIV/0!</v>
      </c>
      <c r="AF35" s="376">
        <f>SUMIF(竣!AM$8:AM$130,B35,竣!$BK$8:$BK$130)</f>
        <v>0</v>
      </c>
      <c r="AG35" s="371" t="e">
        <f t="shared" si="14"/>
        <v>#DIV/0!</v>
      </c>
      <c r="AH35" s="438"/>
      <c r="AI35" s="438"/>
      <c r="AJ35" s="438"/>
      <c r="AK35" s="438"/>
      <c r="AM35" s="335"/>
      <c r="AN35" s="338"/>
    </row>
    <row r="36" s="334" customFormat="1" ht="24.95" customHeight="1" spans="1:40">
      <c r="A36" s="374">
        <v>16</v>
      </c>
      <c r="B36" s="375" t="s">
        <v>1138</v>
      </c>
      <c r="C36" s="379">
        <f t="shared" si="36"/>
        <v>1</v>
      </c>
      <c r="D36" s="376">
        <f t="shared" si="37"/>
        <v>17500</v>
      </c>
      <c r="E36" s="376">
        <f t="shared" si="39"/>
        <v>0</v>
      </c>
      <c r="F36" s="379">
        <f t="shared" si="40"/>
        <v>5000</v>
      </c>
      <c r="G36" s="377">
        <f t="shared" si="19"/>
        <v>0</v>
      </c>
      <c r="H36" s="371">
        <f t="shared" si="17"/>
        <v>0</v>
      </c>
      <c r="I36" s="376">
        <f>COUNTIF(开!$AU$8:$AU$213,B36)</f>
        <v>1</v>
      </c>
      <c r="J36" s="376">
        <f>SUMIF(开!$AU$8:$AU$213,B36,开!$F$8:$F$213)</f>
        <v>17500</v>
      </c>
      <c r="K36" s="376">
        <f>SUMIF(开!$AU$8:$AU$213,B36,开!$L$8:$L$213)</f>
        <v>5000</v>
      </c>
      <c r="L36" s="402">
        <f t="shared" si="6"/>
        <v>1</v>
      </c>
      <c r="M36" s="376">
        <f>SUMIF(开!$AU$8:$AU$213,B36,开!$P$8:$P$213)</f>
        <v>0</v>
      </c>
      <c r="N36" s="402">
        <f t="shared" si="7"/>
        <v>0</v>
      </c>
      <c r="O36" s="376">
        <f>SUMIF(开!$AU$8:$AU$213,B36,开!$BO$8:$BO$213)</f>
        <v>0</v>
      </c>
      <c r="P36" s="371">
        <f t="shared" si="8"/>
        <v>0</v>
      </c>
      <c r="Q36" s="376">
        <f>COUNTIF('续 '!AM$8:AM$198,B36)</f>
        <v>0</v>
      </c>
      <c r="R36" s="376">
        <f>SUMIF('续 '!AM$8:AM$198,B36,'续 '!$F$8:$F$198)</f>
        <v>0</v>
      </c>
      <c r="S36" s="376">
        <f>SUMIF('续 '!AM$8:AM$198,B36,'续 '!$G$8:$G$198)</f>
        <v>0</v>
      </c>
      <c r="T36" s="376">
        <f>SUMIF('续 '!AM$8:AM$198,B36,'续 '!$L$8:$L$198)</f>
        <v>0</v>
      </c>
      <c r="U36" s="402">
        <f t="shared" si="10"/>
        <v>0</v>
      </c>
      <c r="V36" s="376">
        <f>SUMIF('续 '!AM$8:AM$198,B36,'续 '!$O$8:$O$198)</f>
        <v>0</v>
      </c>
      <c r="W36" s="402" t="e">
        <f t="shared" si="11"/>
        <v>#DIV/0!</v>
      </c>
      <c r="X36" s="376">
        <f>SUMIF('续 '!AM$8:AM$198,B36,'续 '!$BJ$8:$BJ$198)</f>
        <v>0</v>
      </c>
      <c r="Y36" s="376">
        <f>COUNTIF(竣!AM$8:AM$130,B36)</f>
        <v>0</v>
      </c>
      <c r="Z36" s="376">
        <f>SUMIF(竣!AM$8:AM$130,B36,竣!$F$8:$F$130)</f>
        <v>0</v>
      </c>
      <c r="AA36" s="376">
        <f>SUMIF(竣!AM$8:AM$130,B36,竣!$G$8:$G$130)</f>
        <v>0</v>
      </c>
      <c r="AB36" s="376">
        <f>SUMIF(竣!AM$8:AM$130,B36,竣!$L$8:$L$130)</f>
        <v>0</v>
      </c>
      <c r="AC36" s="402">
        <f t="shared" si="12"/>
        <v>0</v>
      </c>
      <c r="AD36" s="376">
        <f>SUMIF(竣!AM$8:AM$130,B36,竣!$O$8:$O$130)</f>
        <v>0</v>
      </c>
      <c r="AE36" s="402" t="e">
        <f t="shared" si="13"/>
        <v>#DIV/0!</v>
      </c>
      <c r="AF36" s="376">
        <f>SUMIF(竣!AM$8:AM$130,B36,竣!$BK$8:$BK$130)</f>
        <v>0</v>
      </c>
      <c r="AG36" s="371" t="e">
        <f t="shared" si="14"/>
        <v>#DIV/0!</v>
      </c>
      <c r="AH36" s="438"/>
      <c r="AI36" s="438"/>
      <c r="AJ36" s="438"/>
      <c r="AK36" s="438"/>
      <c r="AM36" s="335"/>
      <c r="AN36" s="338"/>
    </row>
    <row r="37" s="334" customFormat="1" ht="24.95" customHeight="1" spans="1:40">
      <c r="A37" s="374">
        <v>17</v>
      </c>
      <c r="B37" s="375" t="s">
        <v>1843</v>
      </c>
      <c r="C37" s="379">
        <f t="shared" si="36"/>
        <v>1</v>
      </c>
      <c r="D37" s="376">
        <f t="shared" si="37"/>
        <v>38100</v>
      </c>
      <c r="E37" s="376">
        <f t="shared" si="39"/>
        <v>6500</v>
      </c>
      <c r="F37" s="379">
        <f t="shared" si="40"/>
        <v>13000</v>
      </c>
      <c r="G37" s="377">
        <f t="shared" si="19"/>
        <v>0</v>
      </c>
      <c r="H37" s="371">
        <f t="shared" si="17"/>
        <v>0</v>
      </c>
      <c r="I37" s="376">
        <f>COUNTIF(开!$AU$8:$AU$213,B37)</f>
        <v>0</v>
      </c>
      <c r="J37" s="376">
        <f>SUMIF(开!$AU$8:$AU$213,B37,开!$F$8:$F$213)</f>
        <v>0</v>
      </c>
      <c r="K37" s="376">
        <f>SUMIF(开!$AU$8:$AU$213,B37,开!$L$8:$L$213)</f>
        <v>0</v>
      </c>
      <c r="L37" s="402">
        <f t="shared" si="6"/>
        <v>0</v>
      </c>
      <c r="M37" s="376">
        <f>SUMIF(开!$AU$8:$AU$213,B37,开!$P$8:$P$213)</f>
        <v>0</v>
      </c>
      <c r="N37" s="402" t="e">
        <f t="shared" si="7"/>
        <v>#DIV/0!</v>
      </c>
      <c r="O37" s="376">
        <f>SUMIF(开!$AU$8:$AU$213,B37,开!$BO$8:$BO$213)</f>
        <v>0</v>
      </c>
      <c r="P37" s="371" t="e">
        <f t="shared" si="8"/>
        <v>#DIV/0!</v>
      </c>
      <c r="Q37" s="376">
        <f>COUNTIF('续 '!AM$8:AM$198,B37)</f>
        <v>1</v>
      </c>
      <c r="R37" s="376">
        <f>SUMIF('续 '!AM$8:AM$198,B37,'续 '!$F$8:$F$198)</f>
        <v>38100</v>
      </c>
      <c r="S37" s="376">
        <f>SUMIF('续 '!AM$8:AM$198,B37,'续 '!$G$8:$G$198)</f>
        <v>6500</v>
      </c>
      <c r="T37" s="376">
        <f>SUMIF('续 '!AM$8:AM$198,B37,'续 '!$L$8:$L$198)</f>
        <v>13000</v>
      </c>
      <c r="U37" s="402">
        <f t="shared" si="10"/>
        <v>1</v>
      </c>
      <c r="V37" s="376">
        <f>SUMIF('续 '!AM$8:AM$198,B37,'续 '!$O$8:$O$198)</f>
        <v>0</v>
      </c>
      <c r="W37" s="402">
        <f t="shared" si="11"/>
        <v>0</v>
      </c>
      <c r="X37" s="376">
        <f>SUMIF('续 '!AM$8:AM$198,B37,'续 '!$BJ$8:$BJ$198)</f>
        <v>0</v>
      </c>
      <c r="Y37" s="376">
        <f>COUNTIF(竣!AM$8:AM$130,B37)</f>
        <v>0</v>
      </c>
      <c r="Z37" s="376">
        <f>SUMIF(竣!AM$8:AM$130,B37,竣!$F$8:$F$130)</f>
        <v>0</v>
      </c>
      <c r="AA37" s="376">
        <f>SUMIF(竣!AM$8:AM$130,B37,竣!$G$8:$G$130)</f>
        <v>0</v>
      </c>
      <c r="AB37" s="376">
        <f>SUMIF(竣!AM$8:AM$130,B37,竣!$L$8:$L$130)</f>
        <v>0</v>
      </c>
      <c r="AC37" s="402">
        <f t="shared" si="12"/>
        <v>0</v>
      </c>
      <c r="AD37" s="384">
        <f>SUMIF(竣!AM$8:AM$130,B37,竣!$O$8:$O$130)</f>
        <v>0</v>
      </c>
      <c r="AE37" s="402" t="e">
        <f t="shared" si="13"/>
        <v>#DIV/0!</v>
      </c>
      <c r="AF37" s="384">
        <f>SUMIF(竣!AM$8:AM$130,B37,竣!$BK$8:$BK$130)</f>
        <v>0</v>
      </c>
      <c r="AG37" s="371" t="e">
        <f t="shared" si="14"/>
        <v>#DIV/0!</v>
      </c>
      <c r="AH37" s="438"/>
      <c r="AI37" s="438"/>
      <c r="AJ37" s="438"/>
      <c r="AK37" s="438"/>
      <c r="AM37" s="335"/>
      <c r="AN37" s="338"/>
    </row>
    <row r="38" s="334" customFormat="1" ht="24.95" customHeight="1" spans="1:40">
      <c r="A38" s="374">
        <v>18</v>
      </c>
      <c r="B38" s="375" t="s">
        <v>1759</v>
      </c>
      <c r="C38" s="379">
        <f t="shared" si="36"/>
        <v>1</v>
      </c>
      <c r="D38" s="376">
        <f t="shared" si="37"/>
        <v>11000</v>
      </c>
      <c r="E38" s="376">
        <f t="shared" si="39"/>
        <v>9060</v>
      </c>
      <c r="F38" s="379">
        <f t="shared" si="40"/>
        <v>1940</v>
      </c>
      <c r="G38" s="377">
        <f t="shared" si="19"/>
        <v>0</v>
      </c>
      <c r="H38" s="371">
        <f t="shared" si="17"/>
        <v>0</v>
      </c>
      <c r="I38" s="376">
        <f>COUNTIF(开!$AU$8:$AU$213,B38)</f>
        <v>0</v>
      </c>
      <c r="J38" s="376">
        <f>SUMIF(开!$AU$8:$AU$213,B38,开!$F$8:$F$213)</f>
        <v>0</v>
      </c>
      <c r="K38" s="376">
        <f>SUMIF(开!$AU$8:$AU$213,B38,开!$L$8:$L$213)</f>
        <v>0</v>
      </c>
      <c r="L38" s="402">
        <f t="shared" si="6"/>
        <v>0</v>
      </c>
      <c r="M38" s="376">
        <f>SUMIF(开!$AU$8:$AU$213,B38,开!$P$8:$P$213)</f>
        <v>0</v>
      </c>
      <c r="N38" s="402" t="e">
        <f t="shared" si="7"/>
        <v>#DIV/0!</v>
      </c>
      <c r="O38" s="376">
        <f>SUMIF(开!$AU$8:$AU$213,B38,开!$BO$8:$BO$213)</f>
        <v>0</v>
      </c>
      <c r="P38" s="371" t="e">
        <f t="shared" si="8"/>
        <v>#DIV/0!</v>
      </c>
      <c r="Q38" s="376">
        <f>COUNTIF('续 '!AM$8:AM$198,B38)</f>
        <v>0</v>
      </c>
      <c r="R38" s="376">
        <f>SUMIF('续 '!AM$8:AM$198,B38,'续 '!$F$8:$F$198)</f>
        <v>0</v>
      </c>
      <c r="S38" s="376">
        <f>SUMIF('续 '!AM$8:AM$198,B38,'续 '!$G$8:$G$198)</f>
        <v>0</v>
      </c>
      <c r="T38" s="376">
        <f>SUMIF('续 '!AM$8:AM$198,B38,'续 '!$L$8:$L$198)</f>
        <v>0</v>
      </c>
      <c r="U38" s="402">
        <f t="shared" si="10"/>
        <v>0</v>
      </c>
      <c r="V38" s="376">
        <f>SUMIF('续 '!AM$8:AM$198,B38,'续 '!$O$8:$O$198)</f>
        <v>0</v>
      </c>
      <c r="W38" s="402" t="e">
        <f t="shared" si="11"/>
        <v>#DIV/0!</v>
      </c>
      <c r="X38" s="376">
        <f>SUMIF('续 '!AM$8:AM$198,B38,'续 '!$BJ$8:$BJ$198)</f>
        <v>0</v>
      </c>
      <c r="Y38" s="376">
        <f>COUNTIF(竣!AM$8:AM$130,B38)</f>
        <v>1</v>
      </c>
      <c r="Z38" s="376">
        <f>SUMIF(竣!AM$8:AM$130,B38,竣!$F$8:$F$130)</f>
        <v>11000</v>
      </c>
      <c r="AA38" s="376">
        <f>SUMIF(竣!AM$8:AM$130,B38,竣!$G$8:$G$130)</f>
        <v>9060</v>
      </c>
      <c r="AB38" s="376">
        <f>SUMIF(竣!AM$8:AM$130,B38,竣!$L$8:$L$130)</f>
        <v>1940</v>
      </c>
      <c r="AC38" s="402">
        <f t="shared" si="12"/>
        <v>1</v>
      </c>
      <c r="AD38" s="376">
        <f>SUMIF(竣!AM$8:AM$130,B38,竣!$O$8:$O$130)</f>
        <v>0</v>
      </c>
      <c r="AE38" s="402">
        <f t="shared" si="13"/>
        <v>0</v>
      </c>
      <c r="AF38" s="376">
        <f>SUMIF(竣!AM$8:AM$130,B38,竣!$BK$8:$BK$130)</f>
        <v>0</v>
      </c>
      <c r="AG38" s="371">
        <f t="shared" si="14"/>
        <v>0</v>
      </c>
      <c r="AH38" s="438"/>
      <c r="AI38" s="438"/>
      <c r="AJ38" s="438"/>
      <c r="AK38" s="438"/>
      <c r="AM38" s="335"/>
      <c r="AN38" s="338"/>
    </row>
    <row r="39" ht="24.95" customHeight="1" spans="1:40">
      <c r="A39" s="372" t="s">
        <v>808</v>
      </c>
      <c r="B39" s="373" t="s">
        <v>2760</v>
      </c>
      <c r="C39" s="369">
        <f>SUM(C40:C59)-C42-C44-C46-C47-C48-C50-C51-C57</f>
        <v>39</v>
      </c>
      <c r="D39" s="368">
        <f t="shared" ref="D39:AB39" si="41">SUM(D40:D59)-D42-D44-D46-D47-D48-D50-D51-D57</f>
        <v>2816650.53</v>
      </c>
      <c r="E39" s="368">
        <f t="shared" si="41"/>
        <v>755122.4</v>
      </c>
      <c r="F39" s="369">
        <f t="shared" si="41"/>
        <v>609790</v>
      </c>
      <c r="G39" s="368">
        <f t="shared" si="41"/>
        <v>0</v>
      </c>
      <c r="H39" s="368" t="e">
        <f t="shared" si="41"/>
        <v>#DIV/0!</v>
      </c>
      <c r="I39" s="368">
        <f t="shared" si="41"/>
        <v>11</v>
      </c>
      <c r="J39" s="368">
        <f t="shared" si="41"/>
        <v>601042.800000001</v>
      </c>
      <c r="K39" s="368">
        <f t="shared" si="41"/>
        <v>54692</v>
      </c>
      <c r="L39" s="368" t="e">
        <f t="shared" si="41"/>
        <v>#DIV/0!</v>
      </c>
      <c r="M39" s="368">
        <f t="shared" si="41"/>
        <v>0</v>
      </c>
      <c r="N39" s="368" t="e">
        <f t="shared" si="41"/>
        <v>#DIV/0!</v>
      </c>
      <c r="O39" s="368">
        <f t="shared" si="41"/>
        <v>0</v>
      </c>
      <c r="P39" s="368" t="e">
        <f t="shared" si="41"/>
        <v>#DIV/0!</v>
      </c>
      <c r="Q39" s="368">
        <f t="shared" si="41"/>
        <v>18</v>
      </c>
      <c r="R39" s="368">
        <f t="shared" si="41"/>
        <v>1711659.73</v>
      </c>
      <c r="S39" s="368">
        <f t="shared" si="41"/>
        <v>398501.4</v>
      </c>
      <c r="T39" s="368">
        <f t="shared" si="41"/>
        <v>407771</v>
      </c>
      <c r="U39" s="368" t="e">
        <f t="shared" si="41"/>
        <v>#DIV/0!</v>
      </c>
      <c r="V39" s="368">
        <f t="shared" si="41"/>
        <v>0</v>
      </c>
      <c r="W39" s="368" t="e">
        <f t="shared" si="41"/>
        <v>#DIV/0!</v>
      </c>
      <c r="X39" s="368" t="e">
        <f t="shared" si="41"/>
        <v>#REF!</v>
      </c>
      <c r="Y39" s="368">
        <f t="shared" si="41"/>
        <v>10</v>
      </c>
      <c r="Z39" s="368">
        <f t="shared" si="41"/>
        <v>503948</v>
      </c>
      <c r="AA39" s="368">
        <f t="shared" si="41"/>
        <v>356621</v>
      </c>
      <c r="AB39" s="368">
        <f t="shared" si="41"/>
        <v>147327</v>
      </c>
      <c r="AC39" s="402">
        <f t="shared" si="12"/>
        <v>0.241602846881713</v>
      </c>
      <c r="AD39" s="368">
        <f>SUM(AD40:AD59)-AD51</f>
        <v>0</v>
      </c>
      <c r="AE39" s="402">
        <f t="shared" si="13"/>
        <v>0</v>
      </c>
      <c r="AF39" s="368">
        <f>SUM(AF40:AF59)-AF51</f>
        <v>0</v>
      </c>
      <c r="AG39" s="371">
        <f t="shared" si="14"/>
        <v>0</v>
      </c>
      <c r="AN39" s="338"/>
    </row>
    <row r="40" s="334" customFormat="1" ht="30" customHeight="1" spans="1:40">
      <c r="A40" s="374">
        <v>19</v>
      </c>
      <c r="B40" s="375" t="s">
        <v>456</v>
      </c>
      <c r="C40" s="379">
        <f t="shared" ref="C40:C59" si="42">I40+Q40+Y40</f>
        <v>1</v>
      </c>
      <c r="D40" s="376">
        <f t="shared" ref="D40:D59" si="43">J40+R40+Z40</f>
        <v>45537</v>
      </c>
      <c r="E40" s="376">
        <f>S40+AA40</f>
        <v>0</v>
      </c>
      <c r="F40" s="379">
        <f>K40+T40+AB40</f>
        <v>10000</v>
      </c>
      <c r="G40" s="377">
        <f t="shared" si="19"/>
        <v>0</v>
      </c>
      <c r="H40" s="371">
        <f t="shared" si="17"/>
        <v>0</v>
      </c>
      <c r="I40" s="376">
        <f>COUNTIF(开!$AU$8:$AU$213,B40)</f>
        <v>1</v>
      </c>
      <c r="J40" s="376">
        <f>SUMIF(开!$AU$8:$AU$213,B40,开!$F$8:$F$213)</f>
        <v>45537</v>
      </c>
      <c r="K40" s="376">
        <f>SUMIF(开!$AU$8:$AU$213,B40,开!$L$8:$L$213)</f>
        <v>10000</v>
      </c>
      <c r="L40" s="402">
        <f t="shared" si="6"/>
        <v>1</v>
      </c>
      <c r="M40" s="376">
        <f>SUMIF(开!$AU$8:$AU$213,B40,开!$P$8:$P$213)</f>
        <v>0</v>
      </c>
      <c r="N40" s="402">
        <f t="shared" si="7"/>
        <v>0</v>
      </c>
      <c r="O40" s="376">
        <f>SUMIF(开!$AU$8:$AU$213,B40,开!$BO$8:$BO$213)</f>
        <v>0</v>
      </c>
      <c r="P40" s="371">
        <f t="shared" si="8"/>
        <v>0</v>
      </c>
      <c r="Q40" s="376">
        <f>COUNTIF('续 '!AM$8:AM$198,B40)</f>
        <v>0</v>
      </c>
      <c r="R40" s="376">
        <f>SUMIF('续 '!AM$8:AM$198,B40,'续 '!$F$8:$F$198)</f>
        <v>0</v>
      </c>
      <c r="S40" s="376">
        <f>SUMIF('续 '!AM$8:AM$198,B40,'续 '!$G$8:$G$198)</f>
        <v>0</v>
      </c>
      <c r="T40" s="376">
        <f>SUMIF('续 '!AM$8:AM$198,B40,'续 '!$L$8:$L$198)</f>
        <v>0</v>
      </c>
      <c r="U40" s="402">
        <f t="shared" si="10"/>
        <v>0</v>
      </c>
      <c r="V40" s="376">
        <f>SUMIF('续 '!AM$8:AM$198,B40,'续 '!$O$8:$O$198)</f>
        <v>0</v>
      </c>
      <c r="W40" s="402" t="e">
        <f t="shared" si="11"/>
        <v>#DIV/0!</v>
      </c>
      <c r="X40" s="376">
        <f>SUMIF('续 '!AM$8:AM$198,B40,'续 '!$BJ$8:$BJ$198)</f>
        <v>0</v>
      </c>
      <c r="Y40" s="376">
        <f>COUNTIF(竣!AM$8:AM$130,B40)</f>
        <v>0</v>
      </c>
      <c r="Z40" s="376">
        <f>SUMIF(竣!AM$8:AM$130,B40,竣!$F$8:$F$130)</f>
        <v>0</v>
      </c>
      <c r="AA40" s="376">
        <f>SUMIF(竣!AM$8:AM$130,B40,竣!$G$8:$G$130)</f>
        <v>0</v>
      </c>
      <c r="AB40" s="376">
        <f>SUMIF(竣!AM$8:AM$130,B40,竣!$L$8:$L$130)</f>
        <v>0</v>
      </c>
      <c r="AC40" s="402">
        <f t="shared" si="12"/>
        <v>0</v>
      </c>
      <c r="AD40" s="376">
        <f>SUMIF(竣!AM$8:AM$130,B40,竣!$O$8:$O$130)</f>
        <v>0</v>
      </c>
      <c r="AE40" s="402" t="e">
        <f t="shared" si="13"/>
        <v>#DIV/0!</v>
      </c>
      <c r="AF40" s="376">
        <f>SUMIF(竣!AM$8:AM$130,B40,竣!$BK$8:$BK$130)</f>
        <v>0</v>
      </c>
      <c r="AG40" s="371" t="e">
        <f t="shared" si="14"/>
        <v>#DIV/0!</v>
      </c>
      <c r="AH40" s="438"/>
      <c r="AI40" s="438"/>
      <c r="AJ40" s="438"/>
      <c r="AK40" s="438"/>
      <c r="AM40" s="335"/>
      <c r="AN40" s="338"/>
    </row>
    <row r="41" s="334" customFormat="1" ht="24.95" customHeight="1" spans="1:40">
      <c r="A41" s="374">
        <v>20</v>
      </c>
      <c r="B41" s="375" t="s">
        <v>950</v>
      </c>
      <c r="C41" s="379">
        <f t="shared" si="42"/>
        <v>10</v>
      </c>
      <c r="D41" s="376">
        <f t="shared" si="43"/>
        <v>2240368.7</v>
      </c>
      <c r="E41" s="376">
        <f t="shared" ref="E41:E59" si="44">S41+AA41</f>
        <v>561037.4</v>
      </c>
      <c r="F41" s="379">
        <f t="shared" ref="F41:F59" si="45">K41+T41+AB41</f>
        <v>460657</v>
      </c>
      <c r="G41" s="377">
        <f t="shared" si="19"/>
        <v>0</v>
      </c>
      <c r="H41" s="371">
        <f t="shared" si="17"/>
        <v>0</v>
      </c>
      <c r="I41" s="376">
        <f>COUNTIF(开!$AU$8:$AU$213,B41)</f>
        <v>2</v>
      </c>
      <c r="J41" s="376">
        <f>SUMIF(开!$AU$8:$AU$213,B41,开!$F$8:$F$213)</f>
        <v>469400</v>
      </c>
      <c r="K41" s="376">
        <f>SUMIF(开!$AU$8:$AU$213,B41,开!$L$8:$L$213)</f>
        <v>15000</v>
      </c>
      <c r="L41" s="402">
        <f t="shared" si="6"/>
        <v>0.0325621883527223</v>
      </c>
      <c r="M41" s="376">
        <f>SUMIF(开!$AU$8:$AU$213,B41,开!$P$8:$P$213)</f>
        <v>0</v>
      </c>
      <c r="N41" s="402">
        <f t="shared" si="7"/>
        <v>0</v>
      </c>
      <c r="O41" s="376">
        <f>SUMIF(开!$AU$8:$AU$213,B41,开!$BO$8:$BO$213)</f>
        <v>0</v>
      </c>
      <c r="P41" s="371">
        <f t="shared" si="8"/>
        <v>0</v>
      </c>
      <c r="Q41" s="376">
        <f>COUNTIF('续 '!AM$8:AM$198,B41)</f>
        <v>6</v>
      </c>
      <c r="R41" s="376">
        <f>SUMIF('续 '!AM$8:AM$198,B41,'续 '!$F$8:$F$198)</f>
        <v>1361965.7</v>
      </c>
      <c r="S41" s="376">
        <f>SUMIF('续 '!AM$8:AM$198,B41,'续 '!$G$8:$G$198)</f>
        <v>247691.4</v>
      </c>
      <c r="T41" s="376">
        <f>SUMIF('续 '!AM$8:AM$198,B41,'续 '!$L$8:$L$198)</f>
        <v>350000</v>
      </c>
      <c r="U41" s="402">
        <f t="shared" si="10"/>
        <v>0.759784394896854</v>
      </c>
      <c r="V41" s="376">
        <f>SUMIF('续 '!AM$8:AM$198,B41,'续 '!$O$8:$O$198)</f>
        <v>0</v>
      </c>
      <c r="W41" s="402">
        <f t="shared" si="11"/>
        <v>0</v>
      </c>
      <c r="X41" s="376">
        <f>SUMIF('续 '!AM$8:AM$198,B41,'续 '!$BJ$8:$BJ$198)</f>
        <v>0</v>
      </c>
      <c r="Y41" s="376">
        <f>COUNTIF(竣!AM$8:AM$130,B41)</f>
        <v>2</v>
      </c>
      <c r="Z41" s="376">
        <f>SUMIF(竣!AM$8:AM$130,B41,竣!$F$8:$F$130)</f>
        <v>409003</v>
      </c>
      <c r="AA41" s="376">
        <f>SUMIF(竣!AM$8:AM$130,B41,竣!$G$8:$G$130)</f>
        <v>313346</v>
      </c>
      <c r="AB41" s="376">
        <f>SUMIF(竣!AM$8:AM$130,B41,竣!$L$8:$L$130)</f>
        <v>95657</v>
      </c>
      <c r="AC41" s="402">
        <f t="shared" si="12"/>
        <v>0.207653416750424</v>
      </c>
      <c r="AD41" s="376">
        <f>SUMIF(竣!AM$8:AM$130,B41,竣!$O$8:$O$130)</f>
        <v>0</v>
      </c>
      <c r="AE41" s="402">
        <f t="shared" si="13"/>
        <v>0</v>
      </c>
      <c r="AF41" s="376">
        <f>SUMIF(竣!AM$8:AM$130,B41,竣!$BK$8:$BK$130)</f>
        <v>0</v>
      </c>
      <c r="AG41" s="371">
        <f t="shared" si="14"/>
        <v>0</v>
      </c>
      <c r="AH41" s="438"/>
      <c r="AI41" s="438"/>
      <c r="AJ41" s="438"/>
      <c r="AK41" s="438"/>
      <c r="AM41" s="335"/>
      <c r="AN41" s="338"/>
    </row>
    <row r="42" s="334" customFormat="1" ht="24.95" customHeight="1" spans="1:40">
      <c r="A42" s="374"/>
      <c r="B42" s="375" t="s">
        <v>2761</v>
      </c>
      <c r="C42" s="379">
        <f>C41+C36+C30+C29</f>
        <v>12</v>
      </c>
      <c r="D42" s="379">
        <f t="shared" ref="D42:AB42" si="46">D41+D36+D30+D29</f>
        <v>2343868.7</v>
      </c>
      <c r="E42" s="379">
        <f t="shared" si="46"/>
        <v>576037.4</v>
      </c>
      <c r="F42" s="379">
        <f t="shared" si="46"/>
        <v>505657</v>
      </c>
      <c r="G42" s="379">
        <f t="shared" si="46"/>
        <v>0</v>
      </c>
      <c r="H42" s="379" t="e">
        <f t="shared" si="46"/>
        <v>#DIV/0!</v>
      </c>
      <c r="I42" s="379">
        <f t="shared" si="46"/>
        <v>3</v>
      </c>
      <c r="J42" s="379">
        <f t="shared" si="46"/>
        <v>486900</v>
      </c>
      <c r="K42" s="379">
        <f t="shared" si="46"/>
        <v>20000</v>
      </c>
      <c r="L42" s="379" t="e">
        <f t="shared" si="46"/>
        <v>#DIV/0!</v>
      </c>
      <c r="M42" s="379">
        <f t="shared" si="46"/>
        <v>0</v>
      </c>
      <c r="N42" s="379" t="e">
        <f t="shared" si="46"/>
        <v>#DIV/0!</v>
      </c>
      <c r="O42" s="379">
        <f t="shared" si="46"/>
        <v>0</v>
      </c>
      <c r="P42" s="379" t="e">
        <f t="shared" si="46"/>
        <v>#DIV/0!</v>
      </c>
      <c r="Q42" s="379">
        <f t="shared" si="46"/>
        <v>7</v>
      </c>
      <c r="R42" s="379">
        <f t="shared" si="46"/>
        <v>1447965.7</v>
      </c>
      <c r="S42" s="379">
        <f t="shared" si="46"/>
        <v>262691.4</v>
      </c>
      <c r="T42" s="379">
        <f t="shared" si="46"/>
        <v>390000</v>
      </c>
      <c r="U42" s="379" t="e">
        <f t="shared" si="46"/>
        <v>#DIV/0!</v>
      </c>
      <c r="V42" s="379">
        <f t="shared" si="46"/>
        <v>0</v>
      </c>
      <c r="W42" s="379" t="e">
        <f t="shared" si="46"/>
        <v>#DIV/0!</v>
      </c>
      <c r="X42" s="379">
        <f t="shared" si="46"/>
        <v>0</v>
      </c>
      <c r="Y42" s="379">
        <f t="shared" si="46"/>
        <v>2</v>
      </c>
      <c r="Z42" s="379">
        <f t="shared" si="46"/>
        <v>409003</v>
      </c>
      <c r="AA42" s="379">
        <f t="shared" si="46"/>
        <v>313346</v>
      </c>
      <c r="AB42" s="379">
        <f t="shared" si="46"/>
        <v>95657</v>
      </c>
      <c r="AC42" s="402"/>
      <c r="AD42" s="376"/>
      <c r="AE42" s="402"/>
      <c r="AF42" s="376"/>
      <c r="AG42" s="371"/>
      <c r="AH42" s="438"/>
      <c r="AI42" s="438"/>
      <c r="AJ42" s="438"/>
      <c r="AK42" s="438"/>
      <c r="AM42" s="335"/>
      <c r="AN42" s="338"/>
    </row>
    <row r="43" s="334" customFormat="1" ht="24.95" customHeight="1" spans="1:40">
      <c r="A43" s="374">
        <v>21</v>
      </c>
      <c r="B43" s="375" t="s">
        <v>1118</v>
      </c>
      <c r="C43" s="379">
        <f t="shared" si="42"/>
        <v>2</v>
      </c>
      <c r="D43" s="376">
        <f t="shared" si="43"/>
        <v>89987</v>
      </c>
      <c r="E43" s="376">
        <f t="shared" si="44"/>
        <v>50339</v>
      </c>
      <c r="F43" s="379">
        <f t="shared" si="45"/>
        <v>18518</v>
      </c>
      <c r="G43" s="377">
        <f t="shared" si="19"/>
        <v>0</v>
      </c>
      <c r="H43" s="371">
        <f t="shared" si="17"/>
        <v>0</v>
      </c>
      <c r="I43" s="376">
        <f>COUNTIF(开!$AU$8:$AU$213,B43)</f>
        <v>0</v>
      </c>
      <c r="J43" s="376">
        <f>SUMIF(开!$AU$8:$AU$213,B43,开!$F$8:$F$213)</f>
        <v>0</v>
      </c>
      <c r="K43" s="376">
        <f>SUMIF(开!$AU$8:$AU$213,B43,开!$L$8:$L$213)</f>
        <v>0</v>
      </c>
      <c r="L43" s="402">
        <f t="shared" si="6"/>
        <v>0</v>
      </c>
      <c r="M43" s="376">
        <f>SUMIF(开!$AU$8:$AU$213,B43,开!$P$8:$P$213)</f>
        <v>0</v>
      </c>
      <c r="N43" s="402" t="e">
        <f t="shared" si="7"/>
        <v>#DIV/0!</v>
      </c>
      <c r="O43" s="376">
        <f>SUMIF(开!$AU$8:$AU$213,B43,开!$BO$8:$BO$213)</f>
        <v>0</v>
      </c>
      <c r="P43" s="371" t="e">
        <f t="shared" si="8"/>
        <v>#DIV/0!</v>
      </c>
      <c r="Q43" s="376">
        <f>COUNTIF('续 '!AM$8:AM$198,B43)</f>
        <v>1</v>
      </c>
      <c r="R43" s="376">
        <f>SUMIF('续 '!AM$8:AM$198,B43,'续 '!$F$8:$F$198)</f>
        <v>76600</v>
      </c>
      <c r="S43" s="376">
        <f>SUMIF('续 '!AM$8:AM$198,B43,'续 '!$G$8:$G$198)</f>
        <v>40470</v>
      </c>
      <c r="T43" s="376">
        <f>SUMIF('续 '!AM$8:AM$198,B43,'续 '!$L$8:$L$198)</f>
        <v>15000</v>
      </c>
      <c r="U43" s="402">
        <f t="shared" si="10"/>
        <v>0.810022680635058</v>
      </c>
      <c r="V43" s="376">
        <f>SUMIF('续 '!AM$8:AM$198,B43,'续 '!$O$8:$O$198)</f>
        <v>0</v>
      </c>
      <c r="W43" s="402">
        <f t="shared" si="11"/>
        <v>0</v>
      </c>
      <c r="X43" s="376">
        <f>SUMIF('续 '!AM$8:AM$198,B43,'续 '!$BJ$8:$BJ$198)</f>
        <v>0</v>
      </c>
      <c r="Y43" s="376">
        <f>COUNTIF(竣!AM$8:AM$130,B43)</f>
        <v>1</v>
      </c>
      <c r="Z43" s="376">
        <f>SUMIF(竣!AM$8:AM$130,B43,竣!$F$8:$F$130)</f>
        <v>13387</v>
      </c>
      <c r="AA43" s="376">
        <f>SUMIF(竣!AM$8:AM$130,B43,竣!$G$8:$G$130)</f>
        <v>9869</v>
      </c>
      <c r="AB43" s="376">
        <f>SUMIF(竣!AM$8:AM$130,B43,竣!$L$8:$L$130)</f>
        <v>3518</v>
      </c>
      <c r="AC43" s="402">
        <f t="shared" si="12"/>
        <v>0.189977319364942</v>
      </c>
      <c r="AD43" s="376">
        <f>SUMIF(竣!AM$8:AM$130,B43,竣!$O$8:$O$130)</f>
        <v>0</v>
      </c>
      <c r="AE43" s="402">
        <f t="shared" si="13"/>
        <v>0</v>
      </c>
      <c r="AF43" s="376">
        <f>SUMIF(竣!AM$8:AM$130,B43,竣!$BK$8:$BK$130)</f>
        <v>0</v>
      </c>
      <c r="AG43" s="371">
        <f t="shared" si="14"/>
        <v>0</v>
      </c>
      <c r="AH43" s="438"/>
      <c r="AI43" s="438"/>
      <c r="AJ43" s="438"/>
      <c r="AK43" s="438"/>
      <c r="AM43" s="335"/>
      <c r="AN43" s="338"/>
    </row>
    <row r="44" s="334" customFormat="1" ht="33" customHeight="1" spans="1:40">
      <c r="A44" s="374"/>
      <c r="B44" s="375" t="s">
        <v>2762</v>
      </c>
      <c r="C44" s="379">
        <f t="shared" ref="C44:F44" si="47">C43+C34</f>
        <v>6</v>
      </c>
      <c r="D44" s="376">
        <f t="shared" si="47"/>
        <v>559841</v>
      </c>
      <c r="E44" s="376">
        <f t="shared" si="47"/>
        <v>220013</v>
      </c>
      <c r="F44" s="379">
        <f t="shared" si="47"/>
        <v>97887</v>
      </c>
      <c r="G44" s="377"/>
      <c r="H44" s="371"/>
      <c r="I44" s="376">
        <f>I43+I34</f>
        <v>1</v>
      </c>
      <c r="J44" s="376"/>
      <c r="K44" s="376">
        <f>K43+K34</f>
        <v>10000</v>
      </c>
      <c r="L44" s="402"/>
      <c r="M44" s="376"/>
      <c r="N44" s="402"/>
      <c r="O44" s="376"/>
      <c r="P44" s="371"/>
      <c r="Q44" s="376">
        <f>Q43+Q34</f>
        <v>3</v>
      </c>
      <c r="R44" s="376"/>
      <c r="S44" s="376"/>
      <c r="T44" s="376">
        <f>T43+T34</f>
        <v>37000</v>
      </c>
      <c r="U44" s="402"/>
      <c r="V44" s="376"/>
      <c r="W44" s="402"/>
      <c r="X44" s="376"/>
      <c r="Y44" s="376">
        <f>Y43+Y34</f>
        <v>2</v>
      </c>
      <c r="Z44" s="376"/>
      <c r="AA44" s="376"/>
      <c r="AB44" s="376">
        <f>AB43+AB34</f>
        <v>50887</v>
      </c>
      <c r="AC44" s="402"/>
      <c r="AD44" s="376"/>
      <c r="AE44" s="402"/>
      <c r="AF44" s="376"/>
      <c r="AG44" s="371"/>
      <c r="AH44" s="438"/>
      <c r="AI44" s="438"/>
      <c r="AJ44" s="438"/>
      <c r="AK44" s="438"/>
      <c r="AM44" s="335"/>
      <c r="AN44" s="338"/>
    </row>
    <row r="45" s="334" customFormat="1" ht="24.95" customHeight="1" spans="1:40">
      <c r="A45" s="374">
        <v>22</v>
      </c>
      <c r="B45" s="381" t="s">
        <v>979</v>
      </c>
      <c r="C45" s="379">
        <f t="shared" si="42"/>
        <v>6</v>
      </c>
      <c r="D45" s="376">
        <f t="shared" si="43"/>
        <v>132590.03</v>
      </c>
      <c r="E45" s="376">
        <f t="shared" si="44"/>
        <v>76821</v>
      </c>
      <c r="F45" s="379">
        <f t="shared" si="45"/>
        <v>13900</v>
      </c>
      <c r="G45" s="377">
        <f t="shared" si="19"/>
        <v>0</v>
      </c>
      <c r="H45" s="371">
        <f t="shared" si="17"/>
        <v>0</v>
      </c>
      <c r="I45" s="376">
        <f>COUNTIF(开!$AU$8:$AU$213,B45)</f>
        <v>1</v>
      </c>
      <c r="J45" s="376">
        <f>SUMIF(开!$AU$8:$AU$213,B45,开!$F$8:$F$213)</f>
        <v>14118</v>
      </c>
      <c r="K45" s="376">
        <f>SUMIF(开!$AU$8:$AU$213,B45,开!$L$8:$L$213)</f>
        <v>2000</v>
      </c>
      <c r="L45" s="402">
        <f t="shared" si="6"/>
        <v>0.143884892086331</v>
      </c>
      <c r="M45" s="376">
        <f>SUMIF(开!$AU$8:$AU$213,B45,开!$P$8:$P$213)</f>
        <v>0</v>
      </c>
      <c r="N45" s="402">
        <f t="shared" si="7"/>
        <v>0</v>
      </c>
      <c r="O45" s="376">
        <f>SUMIF(开!$AU$8:$AU$213,B45,开!$BO$8:$BO$213)</f>
        <v>0</v>
      </c>
      <c r="P45" s="371">
        <f t="shared" si="8"/>
        <v>0</v>
      </c>
      <c r="Q45" s="376">
        <f>COUNTIF('续 '!AM$8:AM$198,B45)</f>
        <v>4</v>
      </c>
      <c r="R45" s="376">
        <f>SUMIF('续 '!AM$8:AM$198,B45,'续 '!$F$8:$F$198)</f>
        <v>110454.03</v>
      </c>
      <c r="S45" s="376">
        <f>SUMIF('续 '!AM$8:AM$198,B45,'续 '!$G$8:$G$198)</f>
        <v>69803</v>
      </c>
      <c r="T45" s="376">
        <f>SUMIF('续 '!AM$8:AM$198,B45,'续 '!$L$8:$L$198)</f>
        <v>10900</v>
      </c>
      <c r="U45" s="402">
        <f t="shared" si="10"/>
        <v>0.784172661870504</v>
      </c>
      <c r="V45" s="376">
        <f>SUMIF('续 '!AM$8:AM$198,B45,'续 '!$O$8:$O$198)</f>
        <v>0</v>
      </c>
      <c r="W45" s="402">
        <f t="shared" si="11"/>
        <v>0</v>
      </c>
      <c r="X45" s="376">
        <f>SUMIF('续 '!AM$8:AM$198,B45,'续 '!$BJ$8:$BJ$198)</f>
        <v>0</v>
      </c>
      <c r="Y45" s="376">
        <f>COUNTIF(竣!AM$8:AM$130,B45)</f>
        <v>1</v>
      </c>
      <c r="Z45" s="376">
        <f>SUMIF(竣!AM$8:AM$130,B45,竣!$F$8:$F$130)</f>
        <v>8018</v>
      </c>
      <c r="AA45" s="376">
        <f>SUMIF(竣!AM$8:AM$130,B45,竣!$G$8:$G$130)</f>
        <v>7018</v>
      </c>
      <c r="AB45" s="376">
        <f>SUMIF(竣!AM$8:AM$130,B45,竣!$L$8:$L$130)</f>
        <v>1000</v>
      </c>
      <c r="AC45" s="402">
        <f t="shared" si="12"/>
        <v>0.0719424460431655</v>
      </c>
      <c r="AD45" s="376">
        <f>SUMIF(竣!AM$8:AM$130,B45,竣!$O$8:$O$130)</f>
        <v>0</v>
      </c>
      <c r="AE45" s="402">
        <f t="shared" si="13"/>
        <v>0</v>
      </c>
      <c r="AF45" s="376">
        <f>SUMIF(竣!AM$8:AM$130,B45,竣!$BK$8:$BK$130)</f>
        <v>0</v>
      </c>
      <c r="AG45" s="371">
        <f t="shared" si="14"/>
        <v>0</v>
      </c>
      <c r="AH45" s="438"/>
      <c r="AI45" s="438"/>
      <c r="AJ45" s="438"/>
      <c r="AK45" s="438"/>
      <c r="AM45" s="335"/>
      <c r="AN45" s="338"/>
    </row>
    <row r="46" s="334" customFormat="1" ht="24.95" customHeight="1" spans="1:40">
      <c r="A46" s="374"/>
      <c r="B46" s="381" t="s">
        <v>2763</v>
      </c>
      <c r="C46" s="379">
        <f t="shared" ref="C46:F46" si="48">C45+C29</f>
        <v>7</v>
      </c>
      <c r="D46" s="376">
        <f t="shared" si="48"/>
        <v>218590.03</v>
      </c>
      <c r="E46" s="376">
        <f t="shared" si="48"/>
        <v>91821</v>
      </c>
      <c r="F46" s="379">
        <f t="shared" si="48"/>
        <v>53900</v>
      </c>
      <c r="G46" s="377"/>
      <c r="H46" s="371"/>
      <c r="I46" s="376">
        <f>I45+I29</f>
        <v>1</v>
      </c>
      <c r="J46" s="376"/>
      <c r="K46" s="376">
        <f>K45+K29</f>
        <v>2000</v>
      </c>
      <c r="L46" s="402"/>
      <c r="M46" s="376"/>
      <c r="N46" s="402"/>
      <c r="O46" s="376"/>
      <c r="P46" s="371"/>
      <c r="Q46" s="376">
        <f>Q45+Q29</f>
        <v>5</v>
      </c>
      <c r="R46" s="376"/>
      <c r="S46" s="376"/>
      <c r="T46" s="376">
        <f>T45+T29</f>
        <v>50900</v>
      </c>
      <c r="U46" s="402"/>
      <c r="V46" s="376"/>
      <c r="W46" s="402"/>
      <c r="X46" s="376"/>
      <c r="Y46" s="376">
        <f>Y45+Y29</f>
        <v>1</v>
      </c>
      <c r="Z46" s="376"/>
      <c r="AA46" s="376"/>
      <c r="AB46" s="376">
        <f>AB45+AB29</f>
        <v>1000</v>
      </c>
      <c r="AC46" s="402"/>
      <c r="AD46" s="376"/>
      <c r="AE46" s="402"/>
      <c r="AF46" s="376"/>
      <c r="AG46" s="371"/>
      <c r="AH46" s="438"/>
      <c r="AI46" s="438"/>
      <c r="AJ46" s="438"/>
      <c r="AK46" s="438"/>
      <c r="AM46" s="335"/>
      <c r="AN46" s="338"/>
    </row>
    <row r="47" s="334" customFormat="1" ht="24.95" customHeight="1" spans="1:40">
      <c r="A47" s="374"/>
      <c r="B47" s="375" t="s">
        <v>2764</v>
      </c>
      <c r="C47" s="379">
        <f>C35</f>
        <v>3</v>
      </c>
      <c r="D47" s="376">
        <f t="shared" ref="D47:AB47" si="49">D35</f>
        <v>5580000</v>
      </c>
      <c r="E47" s="376">
        <f t="shared" si="49"/>
        <v>0</v>
      </c>
      <c r="F47" s="379">
        <f t="shared" si="49"/>
        <v>90000</v>
      </c>
      <c r="G47" s="376">
        <f t="shared" si="49"/>
        <v>0</v>
      </c>
      <c r="H47" s="376">
        <f t="shared" si="49"/>
        <v>0</v>
      </c>
      <c r="I47" s="376">
        <f t="shared" si="49"/>
        <v>3</v>
      </c>
      <c r="J47" s="376">
        <f t="shared" si="49"/>
        <v>5580000</v>
      </c>
      <c r="K47" s="376">
        <f t="shared" si="49"/>
        <v>90000</v>
      </c>
      <c r="L47" s="376">
        <f t="shared" si="49"/>
        <v>1</v>
      </c>
      <c r="M47" s="376">
        <f t="shared" si="49"/>
        <v>0</v>
      </c>
      <c r="N47" s="376">
        <f t="shared" si="49"/>
        <v>0</v>
      </c>
      <c r="O47" s="376">
        <f t="shared" si="49"/>
        <v>0</v>
      </c>
      <c r="P47" s="376">
        <f t="shared" si="49"/>
        <v>0</v>
      </c>
      <c r="Q47" s="376">
        <f t="shared" si="49"/>
        <v>0</v>
      </c>
      <c r="R47" s="376">
        <f t="shared" si="49"/>
        <v>0</v>
      </c>
      <c r="S47" s="376">
        <f t="shared" si="49"/>
        <v>0</v>
      </c>
      <c r="T47" s="376">
        <f t="shared" si="49"/>
        <v>0</v>
      </c>
      <c r="U47" s="376">
        <f t="shared" si="49"/>
        <v>0</v>
      </c>
      <c r="V47" s="376">
        <f t="shared" si="49"/>
        <v>0</v>
      </c>
      <c r="W47" s="376" t="e">
        <f t="shared" si="49"/>
        <v>#DIV/0!</v>
      </c>
      <c r="X47" s="376">
        <f t="shared" si="49"/>
        <v>0</v>
      </c>
      <c r="Y47" s="376">
        <f t="shared" si="49"/>
        <v>0</v>
      </c>
      <c r="Z47" s="376">
        <f t="shared" si="49"/>
        <v>0</v>
      </c>
      <c r="AA47" s="376">
        <f t="shared" si="49"/>
        <v>0</v>
      </c>
      <c r="AB47" s="376">
        <f t="shared" si="49"/>
        <v>0</v>
      </c>
      <c r="AC47" s="402">
        <f t="shared" si="12"/>
        <v>0</v>
      </c>
      <c r="AD47" s="376">
        <f>SUMIF(竣!AM$8:AM$130,B47,竣!$O$8:$O$130)</f>
        <v>0</v>
      </c>
      <c r="AE47" s="402" t="e">
        <f t="shared" si="13"/>
        <v>#DIV/0!</v>
      </c>
      <c r="AF47" s="376">
        <f>SUMIF(竣!AM$8:AM$130,B47,竣!$BK$8:$BK$130)</f>
        <v>0</v>
      </c>
      <c r="AG47" s="371" t="e">
        <f t="shared" si="14"/>
        <v>#DIV/0!</v>
      </c>
      <c r="AH47" s="438"/>
      <c r="AI47" s="438"/>
      <c r="AJ47" s="438"/>
      <c r="AK47" s="438"/>
      <c r="AM47" s="335"/>
      <c r="AN47" s="338"/>
    </row>
    <row r="48" s="334" customFormat="1" ht="24.95" customHeight="1" spans="1:40">
      <c r="A48" s="374"/>
      <c r="B48" s="375" t="s">
        <v>2765</v>
      </c>
      <c r="C48" s="379">
        <f>C35</f>
        <v>3</v>
      </c>
      <c r="D48" s="376">
        <f t="shared" ref="D48:AB48" si="50">D35</f>
        <v>5580000</v>
      </c>
      <c r="E48" s="376">
        <f t="shared" si="50"/>
        <v>0</v>
      </c>
      <c r="F48" s="379">
        <f t="shared" si="50"/>
        <v>90000</v>
      </c>
      <c r="G48" s="376">
        <f t="shared" si="50"/>
        <v>0</v>
      </c>
      <c r="H48" s="376">
        <f t="shared" si="50"/>
        <v>0</v>
      </c>
      <c r="I48" s="376">
        <f t="shared" si="50"/>
        <v>3</v>
      </c>
      <c r="J48" s="376">
        <f t="shared" si="50"/>
        <v>5580000</v>
      </c>
      <c r="K48" s="376">
        <f t="shared" si="50"/>
        <v>90000</v>
      </c>
      <c r="L48" s="376">
        <f t="shared" si="50"/>
        <v>1</v>
      </c>
      <c r="M48" s="376">
        <f t="shared" si="50"/>
        <v>0</v>
      </c>
      <c r="N48" s="376">
        <f t="shared" si="50"/>
        <v>0</v>
      </c>
      <c r="O48" s="376">
        <f t="shared" si="50"/>
        <v>0</v>
      </c>
      <c r="P48" s="376">
        <f t="shared" si="50"/>
        <v>0</v>
      </c>
      <c r="Q48" s="376">
        <f t="shared" si="50"/>
        <v>0</v>
      </c>
      <c r="R48" s="376">
        <f t="shared" si="50"/>
        <v>0</v>
      </c>
      <c r="S48" s="376">
        <f t="shared" si="50"/>
        <v>0</v>
      </c>
      <c r="T48" s="376">
        <f t="shared" si="50"/>
        <v>0</v>
      </c>
      <c r="U48" s="376">
        <f t="shared" si="50"/>
        <v>0</v>
      </c>
      <c r="V48" s="376">
        <f t="shared" si="50"/>
        <v>0</v>
      </c>
      <c r="W48" s="376" t="e">
        <f t="shared" si="50"/>
        <v>#DIV/0!</v>
      </c>
      <c r="X48" s="376">
        <f t="shared" si="50"/>
        <v>0</v>
      </c>
      <c r="Y48" s="376">
        <f t="shared" si="50"/>
        <v>0</v>
      </c>
      <c r="Z48" s="376">
        <f t="shared" si="50"/>
        <v>0</v>
      </c>
      <c r="AA48" s="376">
        <f t="shared" si="50"/>
        <v>0</v>
      </c>
      <c r="AB48" s="376">
        <f t="shared" si="50"/>
        <v>0</v>
      </c>
      <c r="AC48" s="402"/>
      <c r="AD48" s="376"/>
      <c r="AE48" s="402"/>
      <c r="AF48" s="376"/>
      <c r="AG48" s="371"/>
      <c r="AH48" s="438"/>
      <c r="AI48" s="438"/>
      <c r="AJ48" s="438"/>
      <c r="AK48" s="438"/>
      <c r="AM48" s="335"/>
      <c r="AN48" s="338"/>
    </row>
    <row r="49" s="334" customFormat="1" ht="24.95" customHeight="1" spans="1:40">
      <c r="A49" s="374">
        <v>23</v>
      </c>
      <c r="B49" s="375" t="s">
        <v>986</v>
      </c>
      <c r="C49" s="379">
        <f t="shared" si="42"/>
        <v>11</v>
      </c>
      <c r="D49" s="376">
        <f t="shared" si="43"/>
        <v>150892.8</v>
      </c>
      <c r="E49" s="376">
        <f t="shared" si="44"/>
        <v>40081</v>
      </c>
      <c r="F49" s="379">
        <f t="shared" si="45"/>
        <v>56114</v>
      </c>
      <c r="G49" s="377">
        <f t="shared" si="19"/>
        <v>0</v>
      </c>
      <c r="H49" s="371">
        <f t="shared" si="17"/>
        <v>0</v>
      </c>
      <c r="I49" s="376">
        <f>COUNTIF(开!$AU$8:$AU$213,B49)</f>
        <v>3</v>
      </c>
      <c r="J49" s="376">
        <f>SUMIF(开!$AU$8:$AU$213,B49,开!$F$8:$F$213)</f>
        <v>32299.8</v>
      </c>
      <c r="K49" s="376">
        <f>SUMIF(开!$AU$8:$AU$213,B49,开!$L$8:$L$213)</f>
        <v>11992</v>
      </c>
      <c r="L49" s="402">
        <f t="shared" si="6"/>
        <v>0.213707809102898</v>
      </c>
      <c r="M49" s="376">
        <f>SUMIF(开!$AU$8:$AU$213,B49,开!$P$8:$P$213)</f>
        <v>0</v>
      </c>
      <c r="N49" s="402">
        <f t="shared" si="7"/>
        <v>0</v>
      </c>
      <c r="O49" s="376">
        <f>SUMIF(开!$AU$8:$AU$213,B49,开!$BO$8:$BO$213)</f>
        <v>0</v>
      </c>
      <c r="P49" s="371">
        <f t="shared" si="8"/>
        <v>0</v>
      </c>
      <c r="Q49" s="376">
        <f>COUNTIF('续 '!AM$8:AM$198,B49)</f>
        <v>4</v>
      </c>
      <c r="R49" s="376">
        <f>SUMIF('续 '!AM$8:AM$198,B49,'续 '!$F$8:$F$198)</f>
        <v>68777</v>
      </c>
      <c r="S49" s="376">
        <f>SUMIF('续 '!AM$8:AM$198,B49,'续 '!$G$8:$G$198)</f>
        <v>25016</v>
      </c>
      <c r="T49" s="376">
        <f>SUMIF('续 '!AM$8:AM$198,B49,'续 '!$L$8:$L$198)</f>
        <v>9371</v>
      </c>
      <c r="U49" s="402">
        <f t="shared" si="10"/>
        <v>0.166999322807143</v>
      </c>
      <c r="V49" s="376">
        <f>SUMIF('续 '!AM$8:AM$198,B49,'续 '!$O$8:$O$198)</f>
        <v>0</v>
      </c>
      <c r="W49" s="402">
        <f t="shared" si="11"/>
        <v>0</v>
      </c>
      <c r="X49" s="376" t="e">
        <f>SUMIF('续 '!AM$8:AM$198,B49,'续 '!$BJ$8:$BJ$198)</f>
        <v>#REF!</v>
      </c>
      <c r="Y49" s="376">
        <f>COUNTIF(竣!AM$8:AM$130,B49)</f>
        <v>4</v>
      </c>
      <c r="Z49" s="376">
        <f>SUMIF(竣!AM$8:AM$130,B49,竣!$F$8:$F$130)</f>
        <v>49816</v>
      </c>
      <c r="AA49" s="376">
        <f>SUMIF(竣!AM$8:AM$130,B49,竣!$G$8:$G$130)</f>
        <v>15065</v>
      </c>
      <c r="AB49" s="376">
        <f>SUMIF(竣!AM$8:AM$130,B49,竣!$L$8:$L$130)</f>
        <v>34751</v>
      </c>
      <c r="AC49" s="402">
        <f t="shared" si="12"/>
        <v>0.61929286808996</v>
      </c>
      <c r="AD49" s="376">
        <f>SUMIF(竣!AM$8:AM$130,B49,竣!$O$8:$O$130)</f>
        <v>0</v>
      </c>
      <c r="AE49" s="402">
        <f t="shared" si="13"/>
        <v>0</v>
      </c>
      <c r="AF49" s="376">
        <f>SUMIF(竣!AM$8:AM$130,B49,竣!$BK$8:$BK$130)</f>
        <v>0</v>
      </c>
      <c r="AG49" s="371">
        <f t="shared" si="14"/>
        <v>0</v>
      </c>
      <c r="AH49" s="438"/>
      <c r="AI49" s="438"/>
      <c r="AJ49" s="438"/>
      <c r="AK49" s="438"/>
      <c r="AM49" s="335"/>
      <c r="AN49" s="338"/>
    </row>
    <row r="50" s="334" customFormat="1" ht="24.95" customHeight="1" spans="1:40">
      <c r="A50" s="374"/>
      <c r="B50" s="375" t="s">
        <v>2766</v>
      </c>
      <c r="C50" s="379">
        <f t="shared" ref="C50:F50" si="51">C49+C31+C32+C33</f>
        <v>11</v>
      </c>
      <c r="D50" s="376">
        <f t="shared" si="51"/>
        <v>150892.8</v>
      </c>
      <c r="E50" s="376">
        <f t="shared" si="51"/>
        <v>40081</v>
      </c>
      <c r="F50" s="379">
        <f t="shared" si="51"/>
        <v>56114</v>
      </c>
      <c r="G50" s="377"/>
      <c r="H50" s="371"/>
      <c r="I50" s="376">
        <f>I49+I31+I32+I33</f>
        <v>3</v>
      </c>
      <c r="J50" s="376"/>
      <c r="K50" s="376">
        <f>K49+K31+K32+K33</f>
        <v>11992</v>
      </c>
      <c r="L50" s="402"/>
      <c r="M50" s="376"/>
      <c r="N50" s="402"/>
      <c r="O50" s="376"/>
      <c r="P50" s="371"/>
      <c r="Q50" s="376">
        <f>Q49+Q31+Q32+Q33</f>
        <v>4</v>
      </c>
      <c r="R50" s="376"/>
      <c r="S50" s="376"/>
      <c r="T50" s="376">
        <f>T49+T31+T32+T33</f>
        <v>9371</v>
      </c>
      <c r="U50" s="402"/>
      <c r="V50" s="376"/>
      <c r="W50" s="402"/>
      <c r="X50" s="376"/>
      <c r="Y50" s="376">
        <f>Y49+Y31+Y32+Y33</f>
        <v>4</v>
      </c>
      <c r="Z50" s="376"/>
      <c r="AA50" s="376"/>
      <c r="AB50" s="376">
        <f>AB49+AB31+AB32+AB33</f>
        <v>34751</v>
      </c>
      <c r="AC50" s="402"/>
      <c r="AD50" s="376"/>
      <c r="AE50" s="402"/>
      <c r="AF50" s="376"/>
      <c r="AG50" s="371"/>
      <c r="AH50" s="438"/>
      <c r="AI50" s="438"/>
      <c r="AJ50" s="438"/>
      <c r="AK50" s="438"/>
      <c r="AM50" s="335"/>
      <c r="AN50" s="338"/>
    </row>
    <row r="51" s="334" customFormat="1" ht="30" customHeight="1" spans="1:40">
      <c r="A51" s="374"/>
      <c r="B51" s="375" t="s">
        <v>1586</v>
      </c>
      <c r="C51" s="379">
        <f t="shared" si="42"/>
        <v>18</v>
      </c>
      <c r="D51" s="376">
        <f t="shared" si="43"/>
        <v>120496</v>
      </c>
      <c r="E51" s="376">
        <f t="shared" si="44"/>
        <v>39906</v>
      </c>
      <c r="F51" s="379">
        <f t="shared" si="45"/>
        <v>58522</v>
      </c>
      <c r="G51" s="377">
        <f t="shared" si="19"/>
        <v>0</v>
      </c>
      <c r="H51" s="371">
        <f t="shared" si="17"/>
        <v>0</v>
      </c>
      <c r="I51" s="458">
        <f>COUNTIF(开!$AS$8:$AS$190,B51)</f>
        <v>6</v>
      </c>
      <c r="J51" s="376">
        <f>SUMIF(开!$AS$8:$AS$190,B51,开!$F$8:$F$213)</f>
        <v>42755</v>
      </c>
      <c r="K51" s="376">
        <f>SUMIF(开!$AS$8:$AS$190,B51,开!$L$8:$L$213)</f>
        <v>29320</v>
      </c>
      <c r="L51" s="402">
        <f t="shared" si="6"/>
        <v>0.501008167868494</v>
      </c>
      <c r="M51" s="376">
        <f>SUMIF(开!$AS$8:$AS$190,B51,开!$P$8:$P$213)</f>
        <v>0</v>
      </c>
      <c r="N51" s="402">
        <f t="shared" si="7"/>
        <v>0</v>
      </c>
      <c r="O51" s="376">
        <f>SUMIF(开!$AS$8:$AS$190,B51,开!$BO$8:$BO$213)</f>
        <v>0</v>
      </c>
      <c r="P51" s="371">
        <f t="shared" si="8"/>
        <v>0</v>
      </c>
      <c r="Q51" s="376">
        <f>COUNTIF('续 '!AK$8:AK$198,B51)</f>
        <v>4</v>
      </c>
      <c r="R51" s="376">
        <f>SUMIF('续 '!AK$8:AK$198,B51,'续 '!$F$8:$F$198)</f>
        <v>21496</v>
      </c>
      <c r="S51" s="376">
        <f>SUMIF('续 '!AK$8:AK$198,B51,'续 '!$G$8:$G$198)</f>
        <v>5463</v>
      </c>
      <c r="T51" s="376">
        <f>SUMIF('续 '!AK$8:AK$198,B51,'续 '!$L$8:$L$198)</f>
        <v>7400</v>
      </c>
      <c r="U51" s="402">
        <f t="shared" si="10"/>
        <v>0.126448173336523</v>
      </c>
      <c r="V51" s="376">
        <f>SUMIF('续 '!AM$8:AM$198,B51,'续 '!$O$8:$O$198)</f>
        <v>0</v>
      </c>
      <c r="W51" s="402">
        <f t="shared" si="11"/>
        <v>0</v>
      </c>
      <c r="X51" s="376">
        <f>SUMIF('续 '!AO$8:AO$198,B51,'续 '!$BJ$8:$BJ$198)</f>
        <v>0</v>
      </c>
      <c r="Y51" s="376">
        <f>COUNTIF(竣!AK$8:AK$130,B51)</f>
        <v>8</v>
      </c>
      <c r="Z51" s="376">
        <f>SUMIF(竣!AK$8:AK$130,B51,竣!$F$8:$F$130)</f>
        <v>56245</v>
      </c>
      <c r="AA51" s="376">
        <f>SUMIF(竣!AK$8:AK$130,B51,竣!$G$8:$G$130)</f>
        <v>34443</v>
      </c>
      <c r="AB51" s="376">
        <f>SUMIF(竣!AK$8:AK$130,B51,竣!$L$8:$L$130)</f>
        <v>21802</v>
      </c>
      <c r="AC51" s="402">
        <f t="shared" si="12"/>
        <v>0.372543658794983</v>
      </c>
      <c r="AD51" s="384">
        <f>SUMIF(竣!AM$8:AM$130,B51,竣!$O$8:$O$130)</f>
        <v>0</v>
      </c>
      <c r="AE51" s="402">
        <f t="shared" si="13"/>
        <v>0</v>
      </c>
      <c r="AF51" s="384">
        <f>SUMIF(竣!AM$8:AM$130,B51,竣!$BK$8:$BK$130)</f>
        <v>0</v>
      </c>
      <c r="AG51" s="371">
        <f t="shared" si="14"/>
        <v>0</v>
      </c>
      <c r="AH51" s="438"/>
      <c r="AI51" s="438"/>
      <c r="AJ51" s="438"/>
      <c r="AK51" s="438"/>
      <c r="AM51" s="335"/>
      <c r="AN51" s="338"/>
    </row>
    <row r="52" s="334" customFormat="1" ht="24.95" customHeight="1" spans="1:40">
      <c r="A52" s="374">
        <v>24</v>
      </c>
      <c r="B52" s="375" t="s">
        <v>1582</v>
      </c>
      <c r="C52" s="379">
        <f t="shared" si="42"/>
        <v>1</v>
      </c>
      <c r="D52" s="376">
        <f t="shared" si="43"/>
        <v>36363</v>
      </c>
      <c r="E52" s="376">
        <f t="shared" si="44"/>
        <v>9021</v>
      </c>
      <c r="F52" s="379">
        <f t="shared" si="45"/>
        <v>10000</v>
      </c>
      <c r="G52" s="377">
        <f t="shared" si="19"/>
        <v>0</v>
      </c>
      <c r="H52" s="371">
        <f t="shared" si="17"/>
        <v>0</v>
      </c>
      <c r="I52" s="376">
        <f>COUNTIF(开!$AU$8:$AU$213,B52)</f>
        <v>0</v>
      </c>
      <c r="J52" s="376">
        <f>SUMIF(开!$AU$8:$AU$213,B52,开!$F$8:$F$213)</f>
        <v>0</v>
      </c>
      <c r="K52" s="376">
        <f>SUMIF(开!$AU$8:$AU$213,B52,开!$L$8:$L$213)</f>
        <v>0</v>
      </c>
      <c r="L52" s="402">
        <f t="shared" si="6"/>
        <v>0</v>
      </c>
      <c r="M52" s="376">
        <f>SUMIF(开!$AU$8:$AU$213,B52,开!$P$8:$P$213)</f>
        <v>0</v>
      </c>
      <c r="N52" s="402" t="e">
        <f t="shared" si="7"/>
        <v>#DIV/0!</v>
      </c>
      <c r="O52" s="376">
        <f>SUMIF(开!$AU$8:$AU$213,B52,开!$BO$8:$BO$213)</f>
        <v>0</v>
      </c>
      <c r="P52" s="371" t="e">
        <f t="shared" si="8"/>
        <v>#DIV/0!</v>
      </c>
      <c r="Q52" s="376">
        <f>COUNTIF('续 '!AM$8:AM$198,B52)</f>
        <v>1</v>
      </c>
      <c r="R52" s="376">
        <f>SUMIF('续 '!AM$8:AM$198,B52,'续 '!$F$8:$F$198)</f>
        <v>36363</v>
      </c>
      <c r="S52" s="376">
        <f>SUMIF('续 '!AM$8:AM$198,B52,'续 '!$G$8:$G$198)</f>
        <v>9021</v>
      </c>
      <c r="T52" s="376">
        <f>SUMIF('续 '!AM$8:AM$198,B52,'续 '!$L$8:$L$198)</f>
        <v>10000</v>
      </c>
      <c r="U52" s="402">
        <f t="shared" si="10"/>
        <v>1</v>
      </c>
      <c r="V52" s="376">
        <f>SUMIF('续 '!AM$8:AM$198,B52,'续 '!$O$8:$O$198)</f>
        <v>0</v>
      </c>
      <c r="W52" s="402">
        <f t="shared" si="11"/>
        <v>0</v>
      </c>
      <c r="X52" s="376">
        <f>SUMIF('续 '!AM$8:AM$198,B52,'续 '!$BJ$8:$BJ$198)</f>
        <v>0</v>
      </c>
      <c r="Y52" s="376">
        <f>COUNTIF(竣!AM$8:AM$130,B52)</f>
        <v>0</v>
      </c>
      <c r="Z52" s="376">
        <f>SUMIF(竣!AM$8:AM$130,B52,竣!$F$8:$F$130)</f>
        <v>0</v>
      </c>
      <c r="AA52" s="376">
        <f>SUMIF(竣!AM$8:AM$130,B52,竣!$G$8:$G$130)</f>
        <v>0</v>
      </c>
      <c r="AB52" s="376">
        <f>SUMIF(竣!AM$8:AM$130,B52,竣!$L$8:$L$130)</f>
        <v>0</v>
      </c>
      <c r="AC52" s="402">
        <f t="shared" si="12"/>
        <v>0</v>
      </c>
      <c r="AD52" s="376">
        <f>SUMIF(竣!AM$8:AM$130,B52,竣!$O$8:$O$130)</f>
        <v>0</v>
      </c>
      <c r="AE52" s="402" t="e">
        <f t="shared" si="13"/>
        <v>#DIV/0!</v>
      </c>
      <c r="AF52" s="376">
        <f>SUMIF(竣!AM$8:AM$130,B52,竣!$BK$8:$BK$130)</f>
        <v>0</v>
      </c>
      <c r="AG52" s="371" t="e">
        <f t="shared" si="14"/>
        <v>#DIV/0!</v>
      </c>
      <c r="AH52" s="438"/>
      <c r="AI52" s="438"/>
      <c r="AJ52" s="438"/>
      <c r="AK52" s="438"/>
      <c r="AM52" s="335"/>
      <c r="AN52" s="338"/>
    </row>
    <row r="53" s="334" customFormat="1" ht="27" customHeight="1" spans="1:40">
      <c r="A53" s="374">
        <v>25</v>
      </c>
      <c r="B53" s="375" t="s">
        <v>919</v>
      </c>
      <c r="C53" s="379">
        <f t="shared" si="42"/>
        <v>1</v>
      </c>
      <c r="D53" s="376">
        <f t="shared" si="43"/>
        <v>16000</v>
      </c>
      <c r="E53" s="376">
        <f t="shared" si="44"/>
        <v>6000</v>
      </c>
      <c r="F53" s="379">
        <f t="shared" si="45"/>
        <v>10000</v>
      </c>
      <c r="G53" s="377">
        <f t="shared" si="19"/>
        <v>0</v>
      </c>
      <c r="H53" s="371">
        <f t="shared" si="17"/>
        <v>0</v>
      </c>
      <c r="I53" s="376">
        <f>COUNTIF(开!$AU$8:$AU$213,B53)</f>
        <v>0</v>
      </c>
      <c r="J53" s="376">
        <f>SUMIF(开!$AU$8:$AU$213,B53,开!$F$8:$F$213)</f>
        <v>0</v>
      </c>
      <c r="K53" s="376">
        <f>SUMIF(开!$AU$8:$AU$213,B53,开!$L$8:$L$213)</f>
        <v>0</v>
      </c>
      <c r="L53" s="402">
        <f t="shared" si="6"/>
        <v>0</v>
      </c>
      <c r="M53" s="376">
        <f>SUMIF(开!$AU$8:$AU$213,B53,开!$P$8:$P$213)</f>
        <v>0</v>
      </c>
      <c r="N53" s="402" t="e">
        <f t="shared" si="7"/>
        <v>#DIV/0!</v>
      </c>
      <c r="O53" s="376">
        <f>SUMIF(开!$AU$8:$AU$213,B53,开!$BO$8:$BO$213)</f>
        <v>0</v>
      </c>
      <c r="P53" s="371" t="e">
        <f t="shared" si="8"/>
        <v>#DIV/0!</v>
      </c>
      <c r="Q53" s="376">
        <f>COUNTIF('续 '!AM$8:AM$198,B53)</f>
        <v>0</v>
      </c>
      <c r="R53" s="376">
        <f>SUMIF('续 '!AM$8:AM$198,B53,'续 '!$F$8:$F$198)</f>
        <v>0</v>
      </c>
      <c r="S53" s="376">
        <f>SUMIF('续 '!AM$8:AM$198,B53,'续 '!$G$8:$G$198)</f>
        <v>0</v>
      </c>
      <c r="T53" s="376">
        <f>SUMIF('续 '!AM$8:AM$198,B53,'续 '!$L$8:$L$198)</f>
        <v>0</v>
      </c>
      <c r="U53" s="402">
        <f t="shared" si="10"/>
        <v>0</v>
      </c>
      <c r="V53" s="376">
        <f>SUMIF('续 '!AM$8:AM$198,B53,'续 '!$O$8:$O$198)</f>
        <v>0</v>
      </c>
      <c r="W53" s="402" t="e">
        <f t="shared" si="11"/>
        <v>#DIV/0!</v>
      </c>
      <c r="X53" s="376">
        <f>SUMIF('续 '!AM$8:AM$198,B53,'续 '!$BJ$8:$BJ$198)</f>
        <v>0</v>
      </c>
      <c r="Y53" s="376">
        <f>COUNTIF(竣!AM$8:AM$130,B53)</f>
        <v>1</v>
      </c>
      <c r="Z53" s="376">
        <f>SUMIF(竣!AM$8:AM$130,B53,竣!$F$8:$F$130)</f>
        <v>16000</v>
      </c>
      <c r="AA53" s="376">
        <f>SUMIF(竣!AM$8:AM$130,B53,竣!$G$8:$G$130)</f>
        <v>6000</v>
      </c>
      <c r="AB53" s="376">
        <f>SUMIF(竣!AM$8:AM$130,B53,竣!$L$8:$L$130)</f>
        <v>10000</v>
      </c>
      <c r="AC53" s="402">
        <f t="shared" si="12"/>
        <v>1</v>
      </c>
      <c r="AD53" s="384">
        <f>SUMIF(竣!AM$8:AM$130,B53,竣!$O$8:$O$130)</f>
        <v>0</v>
      </c>
      <c r="AE53" s="402">
        <f t="shared" si="13"/>
        <v>0</v>
      </c>
      <c r="AF53" s="384">
        <f>SUMIF(竣!AM$8:AM$130,B53,竣!$BK$8:$BK$130)</f>
        <v>0</v>
      </c>
      <c r="AG53" s="371">
        <f t="shared" si="14"/>
        <v>0</v>
      </c>
      <c r="AH53" s="438"/>
      <c r="AI53" s="438"/>
      <c r="AJ53" s="438"/>
      <c r="AK53" s="438"/>
      <c r="AM53" s="335"/>
      <c r="AN53" s="338"/>
    </row>
    <row r="54" s="334" customFormat="1" ht="24.95" customHeight="1" spans="1:40">
      <c r="A54" s="374">
        <v>26</v>
      </c>
      <c r="B54" s="375" t="s">
        <v>924</v>
      </c>
      <c r="C54" s="379">
        <f t="shared" si="42"/>
        <v>1</v>
      </c>
      <c r="D54" s="376">
        <f t="shared" si="43"/>
        <v>7724</v>
      </c>
      <c r="E54" s="376">
        <f t="shared" si="44"/>
        <v>5323</v>
      </c>
      <c r="F54" s="379">
        <f t="shared" si="45"/>
        <v>2401</v>
      </c>
      <c r="G54" s="377">
        <f t="shared" si="19"/>
        <v>0</v>
      </c>
      <c r="H54" s="371">
        <f t="shared" si="17"/>
        <v>0</v>
      </c>
      <c r="I54" s="376">
        <f>COUNTIF(开!$AU$8:$AU$213,B54)</f>
        <v>0</v>
      </c>
      <c r="J54" s="376">
        <f>SUMIF(开!$AU$8:$AU$213,B54,开!$F$8:$F$213)</f>
        <v>0</v>
      </c>
      <c r="K54" s="376">
        <f>SUMIF(开!$AU$8:$AU$213,B54,开!$L$8:$L$213)</f>
        <v>0</v>
      </c>
      <c r="L54" s="402">
        <f t="shared" si="6"/>
        <v>0</v>
      </c>
      <c r="M54" s="376">
        <f>SUMIF(开!$AU$8:$AU$213,B54,开!$P$8:$P$213)</f>
        <v>0</v>
      </c>
      <c r="N54" s="402" t="e">
        <f t="shared" si="7"/>
        <v>#DIV/0!</v>
      </c>
      <c r="O54" s="376">
        <f>SUMIF(开!$AU$8:$AU$213,B54,开!$BO$8:$BO$213)</f>
        <v>0</v>
      </c>
      <c r="P54" s="371" t="e">
        <f t="shared" si="8"/>
        <v>#DIV/0!</v>
      </c>
      <c r="Q54" s="376">
        <f>COUNTIF('续 '!AM$8:AM$198,B54)</f>
        <v>0</v>
      </c>
      <c r="R54" s="376">
        <f>SUMIF('续 '!AM$8:AM$198,B54,'续 '!$F$8:$F$198)</f>
        <v>0</v>
      </c>
      <c r="S54" s="376">
        <f>SUMIF('续 '!AM$8:AM$198,B54,'续 '!$G$8:$G$198)</f>
        <v>0</v>
      </c>
      <c r="T54" s="376">
        <f>SUMIF('续 '!AM$8:AM$198,B54,'续 '!$L$8:$L$198)</f>
        <v>0</v>
      </c>
      <c r="U54" s="402">
        <f t="shared" si="10"/>
        <v>0</v>
      </c>
      <c r="V54" s="376">
        <f>SUMIF('续 '!AM$8:AM$198,B54,'续 '!$O$8:$O$198)</f>
        <v>0</v>
      </c>
      <c r="W54" s="402" t="e">
        <f t="shared" si="11"/>
        <v>#DIV/0!</v>
      </c>
      <c r="X54" s="376">
        <f>SUMIF('续 '!AM$8:AM$198,B54,'续 '!$BJ$8:$BJ$198)</f>
        <v>0</v>
      </c>
      <c r="Y54" s="376">
        <f>COUNTIF(竣!AM$8:AM$130,B54)</f>
        <v>1</v>
      </c>
      <c r="Z54" s="376">
        <f>SUMIF(竣!AM$8:AM$130,B54,竣!$F$8:$F$130)</f>
        <v>7724</v>
      </c>
      <c r="AA54" s="376">
        <f>SUMIF(竣!AM$8:AM$130,B54,竣!$G$8:$G$130)</f>
        <v>5323</v>
      </c>
      <c r="AB54" s="376">
        <f>SUMIF(竣!AM$8:AM$130,B54,竣!$L$8:$L$130)</f>
        <v>2401</v>
      </c>
      <c r="AC54" s="402">
        <f t="shared" si="12"/>
        <v>1</v>
      </c>
      <c r="AD54" s="376">
        <f>SUMIF(竣!AM$8:AM$130,B54,竣!$O$8:$O$130)</f>
        <v>0</v>
      </c>
      <c r="AE54" s="402">
        <f t="shared" si="13"/>
        <v>0</v>
      </c>
      <c r="AF54" s="376">
        <f>SUMIF(竣!AM$8:AM$130,B54,竣!$BK$8:$BK$130)</f>
        <v>0</v>
      </c>
      <c r="AG54" s="371">
        <f t="shared" si="14"/>
        <v>0</v>
      </c>
      <c r="AH54" s="438"/>
      <c r="AI54" s="438"/>
      <c r="AJ54" s="438"/>
      <c r="AK54" s="438"/>
      <c r="AM54" s="335"/>
      <c r="AN54" s="338"/>
    </row>
    <row r="55" s="334" customFormat="1" ht="25.15" customHeight="1" spans="1:40">
      <c r="A55" s="374">
        <v>27</v>
      </c>
      <c r="B55" s="375" t="s">
        <v>749</v>
      </c>
      <c r="C55" s="379">
        <f t="shared" si="42"/>
        <v>1</v>
      </c>
      <c r="D55" s="376">
        <f t="shared" si="43"/>
        <v>32500</v>
      </c>
      <c r="E55" s="376">
        <f t="shared" si="44"/>
        <v>5000</v>
      </c>
      <c r="F55" s="379">
        <f t="shared" si="45"/>
        <v>10000</v>
      </c>
      <c r="G55" s="377">
        <f t="shared" si="19"/>
        <v>0</v>
      </c>
      <c r="H55" s="371">
        <f t="shared" si="17"/>
        <v>0</v>
      </c>
      <c r="I55" s="376">
        <f>COUNTIF(开!$AU$8:$AU$213,B55)</f>
        <v>0</v>
      </c>
      <c r="J55" s="376">
        <f>SUMIF(开!$AU$8:$AU$213,B55,开!$F$8:$F$213)</f>
        <v>0</v>
      </c>
      <c r="K55" s="376">
        <f>SUMIF(开!$AU$8:$AU$213,B55,开!$L$8:$L$213)</f>
        <v>0</v>
      </c>
      <c r="L55" s="402">
        <f t="shared" si="6"/>
        <v>0</v>
      </c>
      <c r="M55" s="376">
        <f>SUMIF(开!$AU$8:$AU$213,B55,开!$P$8:$P$213)</f>
        <v>0</v>
      </c>
      <c r="N55" s="402" t="e">
        <f t="shared" si="7"/>
        <v>#DIV/0!</v>
      </c>
      <c r="O55" s="376">
        <f>SUMIF(开!$AU$8:$AU$213,B55,开!$BO$8:$BO$213)</f>
        <v>0</v>
      </c>
      <c r="P55" s="371" t="e">
        <f t="shared" si="8"/>
        <v>#DIV/0!</v>
      </c>
      <c r="Q55" s="376">
        <f>COUNTIF('续 '!AM$8:AM$198,B55)</f>
        <v>1</v>
      </c>
      <c r="R55" s="376">
        <f>SUMIF('续 '!AM$8:AM$198,B55,'续 '!$F$8:$F$198)</f>
        <v>32500</v>
      </c>
      <c r="S55" s="376">
        <f>SUMIF('续 '!AM$8:AM$198,B55,'续 '!$G$8:$G$198)</f>
        <v>5000</v>
      </c>
      <c r="T55" s="376">
        <f>SUMIF('续 '!AM$8:AM$198,B55,'续 '!$L$8:$L$198)</f>
        <v>10000</v>
      </c>
      <c r="U55" s="402">
        <f t="shared" si="10"/>
        <v>1</v>
      </c>
      <c r="V55" s="376">
        <f>SUMIF('续 '!AM$8:AM$198,B55,'续 '!$O$8:$O$198)</f>
        <v>0</v>
      </c>
      <c r="W55" s="402">
        <f t="shared" si="11"/>
        <v>0</v>
      </c>
      <c r="X55" s="376">
        <f>SUMIF('续 '!AM$8:AM$198,B55,'续 '!$BJ$8:$BJ$198)</f>
        <v>0</v>
      </c>
      <c r="Y55" s="376">
        <f>COUNTIF(竣!AM$8:AM$130,B55)</f>
        <v>0</v>
      </c>
      <c r="Z55" s="376">
        <f>SUMIF(竣!AM$8:AM$130,B55,竣!$F$8:$F$130)</f>
        <v>0</v>
      </c>
      <c r="AA55" s="376">
        <f>SUMIF(竣!AM$8:AM$130,B55,竣!$G$8:$G$130)</f>
        <v>0</v>
      </c>
      <c r="AB55" s="376">
        <f>SUMIF(竣!AM$8:AM$130,B55,竣!$L$8:$L$130)</f>
        <v>0</v>
      </c>
      <c r="AC55" s="402">
        <f t="shared" si="12"/>
        <v>0</v>
      </c>
      <c r="AD55" s="384">
        <f>SUMIF(竣!AM$8:AM$130,B55,竣!$O$8:$O$130)</f>
        <v>0</v>
      </c>
      <c r="AE55" s="402" t="e">
        <f t="shared" si="13"/>
        <v>#DIV/0!</v>
      </c>
      <c r="AF55" s="384">
        <f>SUMIF(竣!AM$8:AM$130,B55,竣!$BK$8:$BK$130)</f>
        <v>0</v>
      </c>
      <c r="AG55" s="371" t="e">
        <f t="shared" si="14"/>
        <v>#DIV/0!</v>
      </c>
      <c r="AH55" s="438"/>
      <c r="AI55" s="438"/>
      <c r="AJ55" s="438"/>
      <c r="AK55" s="438"/>
      <c r="AM55" s="335"/>
      <c r="AN55" s="338"/>
    </row>
    <row r="56" s="334" customFormat="1" ht="24.95" customHeight="1" spans="1:40">
      <c r="A56" s="374">
        <v>28</v>
      </c>
      <c r="B56" s="381" t="s">
        <v>464</v>
      </c>
      <c r="C56" s="379">
        <f t="shared" si="42"/>
        <v>4</v>
      </c>
      <c r="D56" s="376">
        <f t="shared" si="43"/>
        <v>39688</v>
      </c>
      <c r="E56" s="376">
        <f t="shared" si="44"/>
        <v>0</v>
      </c>
      <c r="F56" s="379">
        <f t="shared" si="45"/>
        <v>15700</v>
      </c>
      <c r="G56" s="377">
        <f t="shared" si="19"/>
        <v>0</v>
      </c>
      <c r="H56" s="371">
        <f t="shared" si="17"/>
        <v>0</v>
      </c>
      <c r="I56" s="376">
        <f>COUNTIF(开!$AU$8:$AU$213,B56)</f>
        <v>4</v>
      </c>
      <c r="J56" s="376">
        <f>SUMIF(开!$AU$8:$AU$213,B56,开!$F$8:$F$213)</f>
        <v>39688</v>
      </c>
      <c r="K56" s="376">
        <f>SUMIF(开!$AU$8:$AU$213,B56,开!$L$8:$L$213)</f>
        <v>15700</v>
      </c>
      <c r="L56" s="402">
        <f t="shared" si="6"/>
        <v>1</v>
      </c>
      <c r="M56" s="376">
        <f>SUMIF(开!$AU$8:$AU$213,B56,开!$P$8:$P$213)</f>
        <v>0</v>
      </c>
      <c r="N56" s="402">
        <f t="shared" si="7"/>
        <v>0</v>
      </c>
      <c r="O56" s="376">
        <f>SUMIF(开!$AU$8:$AU$213,B56,开!$BO$8:$BO$213)</f>
        <v>0</v>
      </c>
      <c r="P56" s="371">
        <f t="shared" si="8"/>
        <v>0</v>
      </c>
      <c r="Q56" s="376">
        <f>COUNTIF('续 '!AM$8:AM$198,B56)</f>
        <v>0</v>
      </c>
      <c r="R56" s="376">
        <f>SUMIF('续 '!AM$8:AM$198,B56,'续 '!$F$8:$F$198)</f>
        <v>0</v>
      </c>
      <c r="S56" s="376">
        <f>SUMIF('续 '!AM$8:AM$198,B56,'续 '!$G$8:$G$198)</f>
        <v>0</v>
      </c>
      <c r="T56" s="376">
        <f>SUMIF('续 '!AM$8:AM$198,B56,'续 '!$L$8:$L$198)</f>
        <v>0</v>
      </c>
      <c r="U56" s="402">
        <f t="shared" si="10"/>
        <v>0</v>
      </c>
      <c r="V56" s="376">
        <f>SUMIF('续 '!AM$8:AM$198,B56,'续 '!$O$8:$O$198)</f>
        <v>0</v>
      </c>
      <c r="W56" s="402" t="e">
        <f t="shared" si="11"/>
        <v>#DIV/0!</v>
      </c>
      <c r="X56" s="376">
        <f>SUMIF('续 '!AM$8:AM$198,B56,'续 '!$BJ$8:$BJ$198)</f>
        <v>0</v>
      </c>
      <c r="Y56" s="376">
        <f>COUNTIF(竣!AM$8:AM$130,B56)</f>
        <v>0</v>
      </c>
      <c r="Z56" s="376">
        <f>SUMIF(竣!AM$8:AM$130,B56,竣!$F$8:$F$130)</f>
        <v>0</v>
      </c>
      <c r="AA56" s="376">
        <f>SUMIF(竣!AM$8:AM$130,B56,竣!$G$8:$G$130)</f>
        <v>0</v>
      </c>
      <c r="AB56" s="376">
        <f>SUMIF(竣!AM$8:AM$130,B56,竣!$L$8:$L$130)</f>
        <v>0</v>
      </c>
      <c r="AC56" s="402">
        <f t="shared" si="12"/>
        <v>0</v>
      </c>
      <c r="AD56" s="376">
        <f>SUMIF(竣!AM$8:AM$130,B56,竣!$O$8:$O$130)</f>
        <v>0</v>
      </c>
      <c r="AE56" s="402" t="e">
        <f t="shared" si="13"/>
        <v>#DIV/0!</v>
      </c>
      <c r="AF56" s="376">
        <f>SUMIF(竣!AM$8:AM$130,B56,竣!$BK$8:$BK$130)</f>
        <v>0</v>
      </c>
      <c r="AG56" s="371" t="e">
        <f t="shared" si="14"/>
        <v>#DIV/0!</v>
      </c>
      <c r="AH56" s="438"/>
      <c r="AI56" s="438"/>
      <c r="AJ56" s="438"/>
      <c r="AK56" s="438"/>
      <c r="AM56" s="335"/>
      <c r="AN56" s="338"/>
    </row>
    <row r="57" s="334" customFormat="1" ht="30" customHeight="1" spans="1:40">
      <c r="A57" s="374"/>
      <c r="B57" s="381" t="s">
        <v>2767</v>
      </c>
      <c r="C57" s="379">
        <f t="shared" ref="C57:F57" si="52">C37</f>
        <v>1</v>
      </c>
      <c r="D57" s="376">
        <f t="shared" si="52"/>
        <v>38100</v>
      </c>
      <c r="E57" s="376">
        <f t="shared" si="52"/>
        <v>6500</v>
      </c>
      <c r="F57" s="379">
        <f t="shared" si="52"/>
        <v>13000</v>
      </c>
      <c r="G57" s="377">
        <f t="shared" si="19"/>
        <v>0</v>
      </c>
      <c r="H57" s="371">
        <f t="shared" si="17"/>
        <v>0</v>
      </c>
      <c r="I57" s="376">
        <f>I37</f>
        <v>0</v>
      </c>
      <c r="J57" s="376">
        <f>SUMIF(开!$AU$8:$AU$213,B57,开!$F$8:$F$213)</f>
        <v>0</v>
      </c>
      <c r="K57" s="376">
        <f>K37</f>
        <v>0</v>
      </c>
      <c r="L57" s="402">
        <f t="shared" si="6"/>
        <v>0</v>
      </c>
      <c r="M57" s="376">
        <f>SUMIF(开!$AU$8:$AU$213,B57,开!$P$8:$P$213)</f>
        <v>0</v>
      </c>
      <c r="N57" s="402" t="e">
        <f t="shared" si="7"/>
        <v>#DIV/0!</v>
      </c>
      <c r="O57" s="376">
        <f>SUMIF(开!$AU$8:$AU$213,B57,开!$BO$8:$BO$213)</f>
        <v>0</v>
      </c>
      <c r="P57" s="371" t="e">
        <f t="shared" si="8"/>
        <v>#DIV/0!</v>
      </c>
      <c r="Q57" s="376">
        <f>Q37</f>
        <v>1</v>
      </c>
      <c r="R57" s="376">
        <f>SUMIF('续 '!AM$8:AM$198,B57,'续 '!$F$8:$F$198)</f>
        <v>0</v>
      </c>
      <c r="S57" s="376">
        <f>SUMIF('续 '!AM$8:AM$198,B57,'续 '!$G$8:$G$198)</f>
        <v>0</v>
      </c>
      <c r="T57" s="376">
        <f>T37</f>
        <v>13000</v>
      </c>
      <c r="U57" s="402">
        <f t="shared" si="10"/>
        <v>1</v>
      </c>
      <c r="V57" s="376">
        <f>SUMIF('续 '!AM$8:AM$198,B57,'续 '!$O$8:$O$198)</f>
        <v>0</v>
      </c>
      <c r="W57" s="402">
        <f t="shared" si="11"/>
        <v>0</v>
      </c>
      <c r="X57" s="376">
        <f>SUMIF('续 '!AM$8:AM$198,B57,'续 '!$BJ$8:$BJ$198)</f>
        <v>0</v>
      </c>
      <c r="Y57" s="376">
        <f>Y37</f>
        <v>0</v>
      </c>
      <c r="Z57" s="376">
        <f>SUMIF(竣!AM$8:AM$130,B57,竣!$F$8:$F$130)</f>
        <v>0</v>
      </c>
      <c r="AA57" s="376">
        <f>SUMIF(竣!AM$8:AM$130,B57,竣!$G$8:$G$130)</f>
        <v>0</v>
      </c>
      <c r="AB57" s="376">
        <f>AB37</f>
        <v>0</v>
      </c>
      <c r="AC57" s="402">
        <f t="shared" si="12"/>
        <v>0</v>
      </c>
      <c r="AD57" s="376">
        <f>SUMIF(竣!AM$8:AM$130,B57,竣!$O$8:$O$130)</f>
        <v>0</v>
      </c>
      <c r="AE57" s="402" t="e">
        <f t="shared" si="13"/>
        <v>#DIV/0!</v>
      </c>
      <c r="AF57" s="376">
        <f>SUMIF(竣!AM$8:AM$130,B57,竣!$BK$8:$BK$130)</f>
        <v>0</v>
      </c>
      <c r="AG57" s="371" t="e">
        <f t="shared" si="14"/>
        <v>#DIV/0!</v>
      </c>
      <c r="AH57" s="438"/>
      <c r="AI57" s="438"/>
      <c r="AJ57" s="438"/>
      <c r="AK57" s="438"/>
      <c r="AM57" s="335"/>
      <c r="AN57" s="338"/>
    </row>
    <row r="58" s="334" customFormat="1" ht="24.95" customHeight="1" spans="1:40">
      <c r="A58" s="374">
        <v>29</v>
      </c>
      <c r="B58" s="381" t="s">
        <v>720</v>
      </c>
      <c r="C58" s="379">
        <f t="shared" si="42"/>
        <v>1</v>
      </c>
      <c r="D58" s="376">
        <f t="shared" si="43"/>
        <v>25000</v>
      </c>
      <c r="E58" s="376">
        <f t="shared" si="44"/>
        <v>1500</v>
      </c>
      <c r="F58" s="379">
        <f t="shared" si="45"/>
        <v>2500</v>
      </c>
      <c r="G58" s="377">
        <f t="shared" si="19"/>
        <v>0</v>
      </c>
      <c r="H58" s="371">
        <f t="shared" si="17"/>
        <v>0</v>
      </c>
      <c r="I58" s="376">
        <f>COUNTIF(开!$AU$8:$AU$213,B58)</f>
        <v>0</v>
      </c>
      <c r="J58" s="376">
        <f>SUMIF(开!$AU$8:$AU$213,B58,开!$F$8:$F$213)</f>
        <v>0</v>
      </c>
      <c r="K58" s="376">
        <f>SUMIF(开!$AU$8:$AU$213,B58,开!$L$8:$L$213)</f>
        <v>0</v>
      </c>
      <c r="L58" s="402">
        <f t="shared" si="6"/>
        <v>0</v>
      </c>
      <c r="M58" s="376">
        <f>SUMIF(开!$AU$8:$AU$213,B58,开!$P$8:$P$213)</f>
        <v>0</v>
      </c>
      <c r="N58" s="402" t="e">
        <f t="shared" si="7"/>
        <v>#DIV/0!</v>
      </c>
      <c r="O58" s="376">
        <f>SUMIF(开!$AU$8:$AU$213,B58,开!$BO$8:$BO$213)</f>
        <v>0</v>
      </c>
      <c r="P58" s="371" t="e">
        <f t="shared" si="8"/>
        <v>#DIV/0!</v>
      </c>
      <c r="Q58" s="376">
        <f>COUNTIF('续 '!AM$8:AM$198,B58)</f>
        <v>1</v>
      </c>
      <c r="R58" s="376">
        <f>SUMIF('续 '!AM$8:AM$198,B58,'续 '!$F$8:$F$198)</f>
        <v>25000</v>
      </c>
      <c r="S58" s="376">
        <f>SUMIF('续 '!AM$8:AM$198,B58,'续 '!$G$8:$G$198)</f>
        <v>1500</v>
      </c>
      <c r="T58" s="376">
        <f>SUMIF('续 '!AM$8:AM$198,B58,'续 '!$L$8:$L$198)</f>
        <v>2500</v>
      </c>
      <c r="U58" s="402">
        <f t="shared" si="10"/>
        <v>1</v>
      </c>
      <c r="V58" s="376">
        <f>SUMIF('续 '!AM$8:AM$198,B58,'续 '!$O$8:$O$198)</f>
        <v>0</v>
      </c>
      <c r="W58" s="402">
        <f t="shared" si="11"/>
        <v>0</v>
      </c>
      <c r="X58" s="376">
        <f>SUMIF('续 '!AM$8:AM$198,B58,'续 '!$BJ$8:$BJ$198)</f>
        <v>0</v>
      </c>
      <c r="Y58" s="376">
        <f>COUNTIF(竣!AM$8:AM$130,B58)</f>
        <v>0</v>
      </c>
      <c r="Z58" s="376">
        <f>SUMIF(竣!AM$8:AM$130,B58,竣!$F$8:$F$130)</f>
        <v>0</v>
      </c>
      <c r="AA58" s="376">
        <f>SUMIF(竣!AM$8:AM$130,B58,竣!$G$8:$G$130)</f>
        <v>0</v>
      </c>
      <c r="AB58" s="376">
        <f>SUMIF(竣!AM$8:AM$130,B58,竣!$L$8:$L$130)</f>
        <v>0</v>
      </c>
      <c r="AC58" s="402">
        <f t="shared" si="12"/>
        <v>0</v>
      </c>
      <c r="AD58" s="376">
        <f>SUMIF(竣!AM$8:AM$130,B58,竣!$O$8:$O$130)</f>
        <v>0</v>
      </c>
      <c r="AE58" s="402" t="e">
        <f t="shared" si="13"/>
        <v>#DIV/0!</v>
      </c>
      <c r="AF58" s="376">
        <f>SUMIF(竣!AM$8:AM$130,B58,竣!$BK$8:$BK$130)</f>
        <v>0</v>
      </c>
      <c r="AG58" s="371" t="e">
        <f t="shared" si="14"/>
        <v>#DIV/0!</v>
      </c>
      <c r="AH58" s="438"/>
      <c r="AI58" s="438"/>
      <c r="AJ58" s="438"/>
      <c r="AK58" s="438"/>
      <c r="AM58" s="335"/>
      <c r="AN58" s="338"/>
    </row>
    <row r="59" s="334" customFormat="1" ht="24.95" customHeight="1" spans="1:40">
      <c r="A59" s="374"/>
      <c r="B59" s="381" t="s">
        <v>2768</v>
      </c>
      <c r="C59" s="379">
        <f t="shared" si="42"/>
        <v>0</v>
      </c>
      <c r="D59" s="376">
        <f t="shared" si="43"/>
        <v>0</v>
      </c>
      <c r="E59" s="376">
        <f t="shared" si="44"/>
        <v>0</v>
      </c>
      <c r="F59" s="379">
        <f t="shared" si="45"/>
        <v>0</v>
      </c>
      <c r="G59" s="377">
        <f t="shared" si="19"/>
        <v>0</v>
      </c>
      <c r="H59" s="371" t="e">
        <f t="shared" si="17"/>
        <v>#DIV/0!</v>
      </c>
      <c r="I59" s="376">
        <f>COUNTIF(开!$AU$8:$AU$213,B59)</f>
        <v>0</v>
      </c>
      <c r="J59" s="376">
        <f>SUMIF(开!$AU$8:$AU$213,B59,开!$F$8:$F$213)</f>
        <v>0</v>
      </c>
      <c r="K59" s="376">
        <f>SUMIF(开!$AU$8:$AU$213,B59,开!$L$8:$L$213)</f>
        <v>0</v>
      </c>
      <c r="L59" s="402" t="e">
        <f t="shared" si="6"/>
        <v>#DIV/0!</v>
      </c>
      <c r="M59" s="376">
        <f>SUMIF(开!$AU$8:$AU$213,B59,开!$P$8:$P$213)</f>
        <v>0</v>
      </c>
      <c r="N59" s="402" t="e">
        <f t="shared" si="7"/>
        <v>#DIV/0!</v>
      </c>
      <c r="O59" s="376">
        <f>SUMIF(开!$AU$8:$AU$213,B59,开!$BO$8:$BO$213)</f>
        <v>0</v>
      </c>
      <c r="P59" s="371" t="e">
        <f t="shared" si="8"/>
        <v>#DIV/0!</v>
      </c>
      <c r="Q59" s="376">
        <f>COUNTIF('续 '!AM$8:AM$198,B59)</f>
        <v>0</v>
      </c>
      <c r="R59" s="376">
        <f>SUMIF('续 '!AM$8:AM$198,B59,'续 '!$F$8:$F$198)</f>
        <v>0</v>
      </c>
      <c r="S59" s="376">
        <f>SUMIF('续 '!AM$8:AM$198,B59,'续 '!$G$8:$G$198)</f>
        <v>0</v>
      </c>
      <c r="T59" s="376">
        <f>SUMIF('续 '!AM$8:AM$198,B59,'续 '!$L$8:$L$198)</f>
        <v>0</v>
      </c>
      <c r="U59" s="402" t="e">
        <f t="shared" si="10"/>
        <v>#DIV/0!</v>
      </c>
      <c r="V59" s="376">
        <f>SUMIF('续 '!AM$8:AM$198,B59,'续 '!$O$8:$O$198)</f>
        <v>0</v>
      </c>
      <c r="W59" s="402" t="e">
        <f t="shared" si="11"/>
        <v>#DIV/0!</v>
      </c>
      <c r="X59" s="376">
        <f>SUMIF('续 '!AM$8:AM$198,B59,'续 '!$BJ$8:$BJ$198)</f>
        <v>0</v>
      </c>
      <c r="Y59" s="376">
        <f>COUNTIF(竣!AM$8:AM$130,B59)</f>
        <v>0</v>
      </c>
      <c r="Z59" s="376">
        <f>SUMIF(竣!AM$8:AM$130,B59,竣!$F$8:$F$130)</f>
        <v>0</v>
      </c>
      <c r="AA59" s="376">
        <f>SUMIF(竣!AM$8:AM$130,B59,竣!$G$8:$G$130)</f>
        <v>0</v>
      </c>
      <c r="AB59" s="376">
        <f>SUMIF(竣!AM$8:AM$130,B59,竣!$L$8:$L$130)</f>
        <v>0</v>
      </c>
      <c r="AC59" s="402" t="e">
        <f t="shared" si="12"/>
        <v>#DIV/0!</v>
      </c>
      <c r="AD59" s="376">
        <f>SUMIF(竣!AM$8:AM$130,B59,竣!$O$8:$O$130)</f>
        <v>0</v>
      </c>
      <c r="AE59" s="402" t="e">
        <f t="shared" si="13"/>
        <v>#DIV/0!</v>
      </c>
      <c r="AF59" s="376">
        <f>SUMIF(竣!AM$8:AM$130,B59,竣!$BK$8:$BK$130)</f>
        <v>0</v>
      </c>
      <c r="AG59" s="371" t="e">
        <f t="shared" si="14"/>
        <v>#DIV/0!</v>
      </c>
      <c r="AH59" s="438"/>
      <c r="AI59" s="438"/>
      <c r="AJ59" s="438"/>
      <c r="AK59" s="438"/>
      <c r="AM59" s="335"/>
      <c r="AN59" s="338"/>
    </row>
    <row r="60" ht="24.95" customHeight="1" spans="1:40">
      <c r="A60" s="372" t="s">
        <v>2012</v>
      </c>
      <c r="B60" s="373" t="s">
        <v>2769</v>
      </c>
      <c r="C60" s="369">
        <f t="shared" ref="C60:G60" si="53">SUM(C61+C68+C69)</f>
        <v>52</v>
      </c>
      <c r="D60" s="368">
        <f t="shared" si="53"/>
        <v>1513877.236</v>
      </c>
      <c r="E60" s="368">
        <f t="shared" si="53"/>
        <v>471845</v>
      </c>
      <c r="F60" s="369">
        <f t="shared" si="53"/>
        <v>221105.086</v>
      </c>
      <c r="G60" s="370">
        <f t="shared" si="53"/>
        <v>0</v>
      </c>
      <c r="H60" s="371">
        <f t="shared" si="17"/>
        <v>0</v>
      </c>
      <c r="I60" s="368">
        <f t="shared" ref="I60:K60" si="54">SUM(I61+I68+I69)</f>
        <v>14</v>
      </c>
      <c r="J60" s="368">
        <f t="shared" si="54"/>
        <v>450429.86</v>
      </c>
      <c r="K60" s="368">
        <f t="shared" si="54"/>
        <v>64992</v>
      </c>
      <c r="L60" s="402">
        <f t="shared" si="6"/>
        <v>0.293941678030871</v>
      </c>
      <c r="M60" s="368">
        <f t="shared" ref="M60:T60" si="55">SUM(M61+M68+M69)</f>
        <v>0</v>
      </c>
      <c r="N60" s="402">
        <f t="shared" si="7"/>
        <v>0</v>
      </c>
      <c r="O60" s="368">
        <f t="shared" si="55"/>
        <v>0</v>
      </c>
      <c r="P60" s="371">
        <f t="shared" si="8"/>
        <v>0</v>
      </c>
      <c r="Q60" s="368">
        <f t="shared" si="55"/>
        <v>29</v>
      </c>
      <c r="R60" s="368">
        <f t="shared" si="55"/>
        <v>878694.29</v>
      </c>
      <c r="S60" s="368">
        <f t="shared" si="55"/>
        <v>331508</v>
      </c>
      <c r="T60" s="368">
        <f t="shared" si="55"/>
        <v>111697</v>
      </c>
      <c r="U60" s="402">
        <f t="shared" si="10"/>
        <v>0.505176077225107</v>
      </c>
      <c r="V60" s="368">
        <f t="shared" ref="V60:AB60" si="56">SUM(V61+V68+V69)</f>
        <v>0</v>
      </c>
      <c r="W60" s="402">
        <f t="shared" si="11"/>
        <v>0</v>
      </c>
      <c r="X60" s="368">
        <f t="shared" si="56"/>
        <v>0</v>
      </c>
      <c r="Y60" s="368">
        <f t="shared" si="56"/>
        <v>9</v>
      </c>
      <c r="Z60" s="368">
        <f t="shared" si="56"/>
        <v>184753.086</v>
      </c>
      <c r="AA60" s="368">
        <f t="shared" si="56"/>
        <v>140337</v>
      </c>
      <c r="AB60" s="368">
        <f t="shared" si="56"/>
        <v>44416.086</v>
      </c>
      <c r="AC60" s="402">
        <f t="shared" si="12"/>
        <v>0.200882244744022</v>
      </c>
      <c r="AD60" s="368">
        <f>SUM(AD61+AD68+AD69)</f>
        <v>0</v>
      </c>
      <c r="AE60" s="402">
        <f t="shared" si="13"/>
        <v>0</v>
      </c>
      <c r="AF60" s="368">
        <f>SUM(AF61+AF68+AF69)</f>
        <v>0</v>
      </c>
      <c r="AG60" s="371">
        <f t="shared" si="14"/>
        <v>0</v>
      </c>
      <c r="AN60" s="338"/>
    </row>
    <row r="61" s="334" customFormat="1" ht="24.95" customHeight="1" spans="1:40">
      <c r="A61" s="374">
        <v>30</v>
      </c>
      <c r="B61" s="381" t="s">
        <v>455</v>
      </c>
      <c r="C61" s="379">
        <f t="shared" ref="C61:C69" si="57">I61+Q61+Y61</f>
        <v>21</v>
      </c>
      <c r="D61" s="376">
        <f t="shared" ref="D61:G61" si="58">SUM(D62:D67)</f>
        <v>447881.83</v>
      </c>
      <c r="E61" s="376">
        <f t="shared" si="58"/>
        <v>185974</v>
      </c>
      <c r="F61" s="379">
        <f t="shared" si="58"/>
        <v>91556</v>
      </c>
      <c r="G61" s="377">
        <f t="shared" si="58"/>
        <v>0</v>
      </c>
      <c r="H61" s="371">
        <f t="shared" si="17"/>
        <v>0</v>
      </c>
      <c r="I61" s="376">
        <f t="shared" ref="I61:K61" si="59">SUM(I62:I67)</f>
        <v>4</v>
      </c>
      <c r="J61" s="376">
        <f t="shared" si="59"/>
        <v>90454.8</v>
      </c>
      <c r="K61" s="376">
        <f t="shared" si="59"/>
        <v>22492</v>
      </c>
      <c r="L61" s="402">
        <f t="shared" si="6"/>
        <v>0.245663856000699</v>
      </c>
      <c r="M61" s="376">
        <f t="shared" ref="M61:T61" si="60">SUM(M62:M67)</f>
        <v>0</v>
      </c>
      <c r="N61" s="402">
        <f t="shared" si="7"/>
        <v>0</v>
      </c>
      <c r="O61" s="376">
        <f t="shared" si="60"/>
        <v>0</v>
      </c>
      <c r="P61" s="371">
        <f t="shared" si="8"/>
        <v>0</v>
      </c>
      <c r="Q61" s="376">
        <f t="shared" si="60"/>
        <v>12</v>
      </c>
      <c r="R61" s="376">
        <f t="shared" si="60"/>
        <v>294551.03</v>
      </c>
      <c r="S61" s="376">
        <f t="shared" si="60"/>
        <v>151191</v>
      </c>
      <c r="T61" s="376">
        <f t="shared" si="60"/>
        <v>40971</v>
      </c>
      <c r="U61" s="402">
        <f t="shared" si="10"/>
        <v>0.447496614094106</v>
      </c>
      <c r="V61" s="376">
        <f t="shared" ref="V61:AB61" si="61">SUM(V62:V67)</f>
        <v>0</v>
      </c>
      <c r="W61" s="402">
        <f t="shared" si="11"/>
        <v>0</v>
      </c>
      <c r="X61" s="376">
        <f t="shared" si="61"/>
        <v>0</v>
      </c>
      <c r="Y61" s="376">
        <f t="shared" si="61"/>
        <v>5</v>
      </c>
      <c r="Z61" s="376">
        <f t="shared" si="61"/>
        <v>62876</v>
      </c>
      <c r="AA61" s="376">
        <f t="shared" si="61"/>
        <v>34783</v>
      </c>
      <c r="AB61" s="376">
        <f t="shared" si="61"/>
        <v>28093</v>
      </c>
      <c r="AC61" s="402">
        <f t="shared" si="12"/>
        <v>0.306839529905195</v>
      </c>
      <c r="AD61" s="376">
        <f>SUM(AD62:AD67)</f>
        <v>0</v>
      </c>
      <c r="AE61" s="402">
        <f t="shared" si="13"/>
        <v>0</v>
      </c>
      <c r="AF61" s="376">
        <f>SUM(AF62:AF67)</f>
        <v>0</v>
      </c>
      <c r="AG61" s="371">
        <f t="shared" si="14"/>
        <v>0</v>
      </c>
      <c r="AH61" s="438"/>
      <c r="AI61" s="438"/>
      <c r="AJ61" s="438"/>
      <c r="AK61" s="438"/>
      <c r="AM61" s="335"/>
      <c r="AN61" s="338"/>
    </row>
    <row r="62" s="334" customFormat="1" ht="25.15" customHeight="1" spans="1:40">
      <c r="A62" s="374"/>
      <c r="B62" s="386" t="s">
        <v>455</v>
      </c>
      <c r="C62" s="379">
        <f t="shared" si="57"/>
        <v>21</v>
      </c>
      <c r="D62" s="376">
        <f t="shared" ref="D62:D69" si="62">J62+R62+Z62</f>
        <v>447881.83</v>
      </c>
      <c r="E62" s="376">
        <f t="shared" ref="E62:E69" si="63">S62+AA62</f>
        <v>185974</v>
      </c>
      <c r="F62" s="379">
        <f t="shared" ref="F62:F69" si="64">K62+T62+AB62</f>
        <v>91556</v>
      </c>
      <c r="G62" s="377">
        <f t="shared" si="19"/>
        <v>0</v>
      </c>
      <c r="H62" s="371">
        <f t="shared" si="17"/>
        <v>0</v>
      </c>
      <c r="I62" s="458">
        <f>COUNTIF(开!$AS$8:$AS$190,B62)</f>
        <v>4</v>
      </c>
      <c r="J62" s="376">
        <f>SUMIF(开!$AS$8:$AS$190,B62,开!$F$8:$F$213)</f>
        <v>90454.8</v>
      </c>
      <c r="K62" s="376">
        <f>SUMIF(开!$AS$8:$AS$190,B62,开!$L$8:$L$213)</f>
        <v>22492</v>
      </c>
      <c r="L62" s="402">
        <f t="shared" si="6"/>
        <v>0.245663856000699</v>
      </c>
      <c r="M62" s="376">
        <f>SUMIF(开!$AS$8:$AS$190,B62,开!$P$8:$P$213)</f>
        <v>0</v>
      </c>
      <c r="N62" s="402">
        <f t="shared" si="7"/>
        <v>0</v>
      </c>
      <c r="O62" s="376">
        <f>SUMIF(开!$AS$8:$AS$190,B62,开!$BO$8:$BO$213)</f>
        <v>0</v>
      </c>
      <c r="P62" s="371">
        <f t="shared" si="8"/>
        <v>0</v>
      </c>
      <c r="Q62" s="376">
        <f>COUNTIF('续 '!AK$8:AK$198,B62)</f>
        <v>12</v>
      </c>
      <c r="R62" s="376">
        <f>SUMIF('续 '!AK$8:AK$198,B62,'续 '!$F$8:$F$198)</f>
        <v>294551.03</v>
      </c>
      <c r="S62" s="376">
        <f>SUMIF('续 '!AK$8:AK$198,B62,'续 '!$G$8:$G$198)</f>
        <v>151191</v>
      </c>
      <c r="T62" s="376">
        <f>SUMIF('续 '!AK$8:AK$198,B62,'续 '!$L$8:$L$198)</f>
        <v>40971</v>
      </c>
      <c r="U62" s="402">
        <f t="shared" si="10"/>
        <v>0.447496614094106</v>
      </c>
      <c r="V62" s="376">
        <f>SUMIF('续 '!AM$8:AM$198,B62,'续 '!$O$8:$O$198)</f>
        <v>0</v>
      </c>
      <c r="W62" s="402">
        <f t="shared" si="11"/>
        <v>0</v>
      </c>
      <c r="X62" s="376">
        <f>SUMIF('续 '!AO$8:AO$198,B62,'续 '!$BJ$8:$BJ$198)</f>
        <v>0</v>
      </c>
      <c r="Y62" s="376">
        <f>COUNTIF(竣!AK$8:AK$130,B62)</f>
        <v>5</v>
      </c>
      <c r="Z62" s="376">
        <f>SUMIF(竣!AK$8:AK$130,B62,竣!$F$8:$F$130)</f>
        <v>62876</v>
      </c>
      <c r="AA62" s="376">
        <f>SUMIF(竣!AK$8:AK$130,B62,竣!$G$8:$G$130)</f>
        <v>34783</v>
      </c>
      <c r="AB62" s="376">
        <f>SUMIF(竣!AK$8:AK$130,B62,竣!$L$8:$L$130)</f>
        <v>28093</v>
      </c>
      <c r="AC62" s="402">
        <f t="shared" si="12"/>
        <v>0.306839529905195</v>
      </c>
      <c r="AD62" s="376">
        <f>SUMIF(竣!AM$8:AM$130,B62,竣!$O$8:$O$130)</f>
        <v>0</v>
      </c>
      <c r="AE62" s="402">
        <f t="shared" si="13"/>
        <v>0</v>
      </c>
      <c r="AF62" s="376">
        <f>SUMIF(竣!AO$8:AO$130,B62,竣!$BK$8:$BK$130)</f>
        <v>0</v>
      </c>
      <c r="AG62" s="371">
        <f t="shared" si="14"/>
        <v>0</v>
      </c>
      <c r="AH62" s="438"/>
      <c r="AI62" s="438"/>
      <c r="AJ62" s="438"/>
      <c r="AK62" s="438"/>
      <c r="AM62" s="335"/>
      <c r="AN62" s="338"/>
    </row>
    <row r="63" s="334" customFormat="1" ht="25.15" customHeight="1" spans="1:40">
      <c r="A63" s="374"/>
      <c r="B63" s="386" t="s">
        <v>2770</v>
      </c>
      <c r="C63" s="379">
        <f t="shared" si="57"/>
        <v>0</v>
      </c>
      <c r="D63" s="376">
        <f t="shared" si="62"/>
        <v>0</v>
      </c>
      <c r="E63" s="376">
        <f t="shared" si="63"/>
        <v>0</v>
      </c>
      <c r="F63" s="379">
        <f t="shared" si="64"/>
        <v>0</v>
      </c>
      <c r="G63" s="377">
        <f t="shared" si="19"/>
        <v>0</v>
      </c>
      <c r="H63" s="371" t="e">
        <f t="shared" si="17"/>
        <v>#DIV/0!</v>
      </c>
      <c r="I63" s="458">
        <f>COUNTIF(开!$AS$8:$AS$190,B63)</f>
        <v>0</v>
      </c>
      <c r="J63" s="376">
        <f>SUMIF(开!$AS$8:$AS$190,B63,开!$F$8:$F$213)</f>
        <v>0</v>
      </c>
      <c r="K63" s="376">
        <f>SUMIF(开!$AS$8:$AS$190,B63,开!$L$8:$L$213)</f>
        <v>0</v>
      </c>
      <c r="L63" s="402" t="e">
        <f t="shared" si="6"/>
        <v>#DIV/0!</v>
      </c>
      <c r="M63" s="376">
        <f>SUMIF(开!$AS$8:$AS$190,B63,开!$P$8:$P$213)</f>
        <v>0</v>
      </c>
      <c r="N63" s="402" t="e">
        <f t="shared" si="7"/>
        <v>#DIV/0!</v>
      </c>
      <c r="O63" s="376">
        <f>SUMIF(开!$AS$8:$AS$190,B63,开!$BO$8:$BO$213)</f>
        <v>0</v>
      </c>
      <c r="P63" s="371" t="e">
        <f t="shared" si="8"/>
        <v>#DIV/0!</v>
      </c>
      <c r="Q63" s="376">
        <f>COUNTIF('续 '!AK$8:AK$198,B63)</f>
        <v>0</v>
      </c>
      <c r="R63" s="376">
        <f>SUMIF('续 '!AK$8:AK$198,B63,'续 '!$F$8:$F$198)</f>
        <v>0</v>
      </c>
      <c r="S63" s="376">
        <f>SUMIF('续 '!AK$8:AK$198,B63,'续 '!$G$8:$G$198)</f>
        <v>0</v>
      </c>
      <c r="T63" s="376">
        <f>SUMIF('续 '!AK$8:AK$198,B63,'续 '!$L$8:$L$198)</f>
        <v>0</v>
      </c>
      <c r="U63" s="402" t="e">
        <f t="shared" si="10"/>
        <v>#DIV/0!</v>
      </c>
      <c r="V63" s="376">
        <f>SUMIF('续 '!AM$8:AM$198,B63,'续 '!$O$8:$O$198)</f>
        <v>0</v>
      </c>
      <c r="W63" s="402" t="e">
        <f t="shared" si="11"/>
        <v>#DIV/0!</v>
      </c>
      <c r="X63" s="376">
        <f>SUMIF('续 '!AO$8:AO$198,B63,'续 '!$BJ$8:$BJ$198)</f>
        <v>0</v>
      </c>
      <c r="Y63" s="376">
        <f>COUNTIF(竣!AK$8:AK$130,B63)</f>
        <v>0</v>
      </c>
      <c r="Z63" s="376">
        <f>SUMIF(竣!AK$8:AK$130,B63,竣!$F$8:$F$130)</f>
        <v>0</v>
      </c>
      <c r="AA63" s="376">
        <f>SUMIF(竣!AK$8:AK$130,B63,竣!$G$8:$G$130)</f>
        <v>0</v>
      </c>
      <c r="AB63" s="376">
        <f>SUMIF(竣!AK$8:AK$130,B63,竣!$L$8:$L$130)</f>
        <v>0</v>
      </c>
      <c r="AC63" s="402" t="e">
        <f t="shared" si="12"/>
        <v>#DIV/0!</v>
      </c>
      <c r="AD63" s="376"/>
      <c r="AE63" s="402"/>
      <c r="AF63" s="376"/>
      <c r="AG63" s="371"/>
      <c r="AH63" s="438"/>
      <c r="AI63" s="438"/>
      <c r="AJ63" s="438"/>
      <c r="AK63" s="438"/>
      <c r="AM63" s="335"/>
      <c r="AN63" s="338"/>
    </row>
    <row r="64" s="334" customFormat="1" ht="25.15" customHeight="1" spans="1:40">
      <c r="A64" s="374"/>
      <c r="B64" s="386" t="s">
        <v>2771</v>
      </c>
      <c r="C64" s="379">
        <f t="shared" si="57"/>
        <v>0</v>
      </c>
      <c r="D64" s="376">
        <f t="shared" si="62"/>
        <v>0</v>
      </c>
      <c r="E64" s="376">
        <f t="shared" si="63"/>
        <v>0</v>
      </c>
      <c r="F64" s="379">
        <f t="shared" si="64"/>
        <v>0</v>
      </c>
      <c r="G64" s="377">
        <f t="shared" si="19"/>
        <v>0</v>
      </c>
      <c r="H64" s="371" t="e">
        <f t="shared" si="17"/>
        <v>#DIV/0!</v>
      </c>
      <c r="I64" s="458">
        <f>COUNTIF(开!$AS$8:$AS$190,B64)</f>
        <v>0</v>
      </c>
      <c r="J64" s="376">
        <f>SUMIF(开!$AS$8:$AS$190,B64,开!$F$8:$F$213)</f>
        <v>0</v>
      </c>
      <c r="K64" s="376">
        <f>SUMIF(开!$AS$8:$AS$190,B64,开!$L$8:$L$213)</f>
        <v>0</v>
      </c>
      <c r="L64" s="402" t="e">
        <f t="shared" si="6"/>
        <v>#DIV/0!</v>
      </c>
      <c r="M64" s="376">
        <f>SUMIF(开!$AS$8:$AS$190,B64,开!$P$8:$P$213)</f>
        <v>0</v>
      </c>
      <c r="N64" s="402" t="e">
        <f t="shared" si="7"/>
        <v>#DIV/0!</v>
      </c>
      <c r="O64" s="376">
        <f>SUMIF(开!$AS$8:$AS$190,B64,开!$BO$8:$BO$213)</f>
        <v>0</v>
      </c>
      <c r="P64" s="371" t="e">
        <f t="shared" si="8"/>
        <v>#DIV/0!</v>
      </c>
      <c r="Q64" s="376">
        <f>COUNTIF('续 '!AK$8:AK$198,B64)</f>
        <v>0</v>
      </c>
      <c r="R64" s="376">
        <f>SUMIF('续 '!AK$8:AK$198,B64,'续 '!$F$8:$F$198)</f>
        <v>0</v>
      </c>
      <c r="S64" s="376">
        <f>SUMIF('续 '!AK$8:AK$198,B64,'续 '!$G$8:$G$198)</f>
        <v>0</v>
      </c>
      <c r="T64" s="376">
        <f>SUMIF('续 '!AK$8:AK$198,B64,'续 '!$L$8:$L$198)</f>
        <v>0</v>
      </c>
      <c r="U64" s="402" t="e">
        <f t="shared" si="10"/>
        <v>#DIV/0!</v>
      </c>
      <c r="V64" s="376">
        <f>SUMIF('续 '!AM$8:AM$198,B64,'续 '!$O$8:$O$198)</f>
        <v>0</v>
      </c>
      <c r="W64" s="402" t="e">
        <f t="shared" si="11"/>
        <v>#DIV/0!</v>
      </c>
      <c r="X64" s="376">
        <f>SUMIF('续 '!AO$8:AO$198,B64,'续 '!$BJ$8:$BJ$198)</f>
        <v>0</v>
      </c>
      <c r="Y64" s="376">
        <f>COUNTIF(竣!AK$8:AK$130,B64)</f>
        <v>0</v>
      </c>
      <c r="Z64" s="376">
        <f>SUMIF(竣!AK$8:AK$130,B64,竣!$F$8:$F$130)</f>
        <v>0</v>
      </c>
      <c r="AA64" s="376">
        <f>SUMIF(竣!AK$8:AK$130,B64,竣!$G$8:$G$130)</f>
        <v>0</v>
      </c>
      <c r="AB64" s="376">
        <f>SUMIF(竣!AK$8:AK$130,B64,竣!$L$8:$L$130)</f>
        <v>0</v>
      </c>
      <c r="AC64" s="402" t="e">
        <f t="shared" si="12"/>
        <v>#DIV/0!</v>
      </c>
      <c r="AD64" s="376"/>
      <c r="AE64" s="402"/>
      <c r="AF64" s="376"/>
      <c r="AG64" s="371"/>
      <c r="AH64" s="438"/>
      <c r="AI64" s="438"/>
      <c r="AJ64" s="438"/>
      <c r="AK64" s="438"/>
      <c r="AM64" s="335"/>
      <c r="AN64" s="338"/>
    </row>
    <row r="65" s="334" customFormat="1" ht="37.9" customHeight="1" spans="1:40">
      <c r="A65" s="374"/>
      <c r="B65" s="386" t="s">
        <v>2772</v>
      </c>
      <c r="C65" s="379">
        <f t="shared" si="57"/>
        <v>0</v>
      </c>
      <c r="D65" s="376">
        <f t="shared" si="62"/>
        <v>0</v>
      </c>
      <c r="E65" s="376">
        <f t="shared" si="63"/>
        <v>0</v>
      </c>
      <c r="F65" s="379">
        <f t="shared" si="64"/>
        <v>0</v>
      </c>
      <c r="G65" s="377">
        <f t="shared" si="19"/>
        <v>0</v>
      </c>
      <c r="H65" s="371" t="e">
        <f t="shared" si="17"/>
        <v>#DIV/0!</v>
      </c>
      <c r="I65" s="458">
        <f>COUNTIF(开!$AS$8:$AS$190,B65)</f>
        <v>0</v>
      </c>
      <c r="J65" s="376">
        <f>SUMIF(开!$AS$8:$AS$190,B65,开!$F$8:$F$213)</f>
        <v>0</v>
      </c>
      <c r="K65" s="376">
        <f>SUMIF(开!$AS$8:$AS$190,B65,开!$L$8:$L$213)</f>
        <v>0</v>
      </c>
      <c r="L65" s="402" t="e">
        <f t="shared" si="6"/>
        <v>#DIV/0!</v>
      </c>
      <c r="M65" s="376">
        <f>SUMIF(开!$AS$8:$AS$190,B65,开!$P$8:$P$213)</f>
        <v>0</v>
      </c>
      <c r="N65" s="402" t="e">
        <f t="shared" si="7"/>
        <v>#DIV/0!</v>
      </c>
      <c r="O65" s="376">
        <f>SUMIF(开!$AS$8:$AS$190,B65,开!$BO$8:$BO$213)</f>
        <v>0</v>
      </c>
      <c r="P65" s="371" t="e">
        <f t="shared" si="8"/>
        <v>#DIV/0!</v>
      </c>
      <c r="Q65" s="376">
        <f>COUNTIF('续 '!AK$8:AK$198,B65)</f>
        <v>0</v>
      </c>
      <c r="R65" s="376">
        <f>SUMIF('续 '!AK$8:AK$198,B65,'续 '!$F$8:$F$198)</f>
        <v>0</v>
      </c>
      <c r="S65" s="376">
        <f>SUMIF('续 '!AK$8:AK$198,B65,'续 '!$G$8:$G$198)</f>
        <v>0</v>
      </c>
      <c r="T65" s="376">
        <f>SUMIF('续 '!AK$8:AK$198,B65,'续 '!$L$8:$L$198)</f>
        <v>0</v>
      </c>
      <c r="U65" s="402" t="e">
        <f t="shared" si="10"/>
        <v>#DIV/0!</v>
      </c>
      <c r="V65" s="376">
        <f>SUMIF('续 '!AM$8:AM$198,B65,'续 '!$O$8:$O$198)</f>
        <v>0</v>
      </c>
      <c r="W65" s="402" t="e">
        <f t="shared" si="11"/>
        <v>#DIV/0!</v>
      </c>
      <c r="X65" s="376">
        <f>SUMIF('续 '!AO$8:AO$198,B65,'续 '!$BJ$8:$BJ$198)</f>
        <v>0</v>
      </c>
      <c r="Y65" s="376">
        <f>COUNTIF(竣!AK$8:AK$130,B65)</f>
        <v>0</v>
      </c>
      <c r="Z65" s="376">
        <f>SUMIF(竣!AK$8:AK$130,B65,竣!$F$8:$F$130)</f>
        <v>0</v>
      </c>
      <c r="AA65" s="376">
        <f>SUMIF(竣!AK$8:AK$130,B65,竣!$G$8:$G$130)</f>
        <v>0</v>
      </c>
      <c r="AB65" s="376">
        <f>SUMIF(竣!AK$8:AK$130,B65,竣!$L$8:$L$130)</f>
        <v>0</v>
      </c>
      <c r="AC65" s="402" t="e">
        <f t="shared" si="12"/>
        <v>#DIV/0!</v>
      </c>
      <c r="AD65" s="376">
        <f>SUMIF(竣!AM$8:AM$130,B65,竣!$O$8:$O$130)</f>
        <v>0</v>
      </c>
      <c r="AE65" s="402" t="e">
        <f t="shared" si="13"/>
        <v>#DIV/0!</v>
      </c>
      <c r="AF65" s="376">
        <f>SUMIF(竣!AO$8:AO$130,B65,竣!$BK$8:$BK$130)</f>
        <v>0</v>
      </c>
      <c r="AG65" s="371" t="e">
        <f t="shared" si="14"/>
        <v>#DIV/0!</v>
      </c>
      <c r="AH65" s="438"/>
      <c r="AI65" s="438"/>
      <c r="AJ65" s="438"/>
      <c r="AK65" s="438"/>
      <c r="AM65" s="335"/>
      <c r="AN65" s="338"/>
    </row>
    <row r="66" s="334" customFormat="1" ht="37.9" customHeight="1" spans="1:40">
      <c r="A66" s="374"/>
      <c r="B66" s="386" t="s">
        <v>2773</v>
      </c>
      <c r="C66" s="379">
        <f t="shared" si="57"/>
        <v>0</v>
      </c>
      <c r="D66" s="376">
        <f t="shared" si="62"/>
        <v>0</v>
      </c>
      <c r="E66" s="376">
        <f t="shared" si="63"/>
        <v>0</v>
      </c>
      <c r="F66" s="379">
        <f t="shared" si="64"/>
        <v>0</v>
      </c>
      <c r="G66" s="377">
        <f t="shared" si="19"/>
        <v>0</v>
      </c>
      <c r="H66" s="371" t="e">
        <f t="shared" si="17"/>
        <v>#DIV/0!</v>
      </c>
      <c r="I66" s="458">
        <f>COUNTIF(开!$AS$8:$AS$190,B66)</f>
        <v>0</v>
      </c>
      <c r="J66" s="376">
        <f>SUMIF(开!$AS$8:$AS$190,B66,开!$F$8:$F$213)</f>
        <v>0</v>
      </c>
      <c r="K66" s="376">
        <f>SUMIF(开!$AS$8:$AS$190,B66,开!$L$8:$L$213)</f>
        <v>0</v>
      </c>
      <c r="L66" s="402" t="e">
        <f t="shared" si="6"/>
        <v>#DIV/0!</v>
      </c>
      <c r="M66" s="376">
        <f>SUMIF(开!$AS$8:$AS$190,B66,开!$P$8:$P$213)</f>
        <v>0</v>
      </c>
      <c r="N66" s="402" t="e">
        <f t="shared" si="7"/>
        <v>#DIV/0!</v>
      </c>
      <c r="O66" s="376">
        <f>SUMIF(开!$AS$8:$AS$190,B66,开!$BO$8:$BO$213)</f>
        <v>0</v>
      </c>
      <c r="P66" s="371" t="e">
        <f t="shared" si="8"/>
        <v>#DIV/0!</v>
      </c>
      <c r="Q66" s="376">
        <f>COUNTIF('续 '!AK$8:AK$198,B66)</f>
        <v>0</v>
      </c>
      <c r="R66" s="376">
        <f>SUMIF('续 '!AK$8:AK$198,B66,'续 '!$F$8:$F$198)</f>
        <v>0</v>
      </c>
      <c r="S66" s="376">
        <f>SUMIF('续 '!AK$8:AK$198,B66,'续 '!$G$8:$G$198)</f>
        <v>0</v>
      </c>
      <c r="T66" s="376">
        <f>SUMIF('续 '!AK$8:AK$198,B66,'续 '!$L$8:$L$198)</f>
        <v>0</v>
      </c>
      <c r="U66" s="402" t="e">
        <f t="shared" si="10"/>
        <v>#DIV/0!</v>
      </c>
      <c r="V66" s="376">
        <f>SUMIF('续 '!AM$8:AM$198,B66,'续 '!$O$8:$O$198)</f>
        <v>0</v>
      </c>
      <c r="W66" s="402" t="e">
        <f t="shared" si="11"/>
        <v>#DIV/0!</v>
      </c>
      <c r="X66" s="376">
        <f>SUMIF('续 '!AO$8:AO$198,B66,'续 '!$BJ$8:$BJ$198)</f>
        <v>0</v>
      </c>
      <c r="Y66" s="376">
        <f>COUNTIF(竣!AK$8:AK$130,B66)</f>
        <v>0</v>
      </c>
      <c r="Z66" s="376">
        <f>SUMIF(竣!AK$8:AK$130,B66,竣!$F$8:$F$130)</f>
        <v>0</v>
      </c>
      <c r="AA66" s="376">
        <f>SUMIF(竣!AK$8:AK$130,B66,竣!$G$8:$G$130)</f>
        <v>0</v>
      </c>
      <c r="AB66" s="376">
        <f>SUMIF(竣!AK$8:AK$130,B66,竣!$L$8:$L$130)</f>
        <v>0</v>
      </c>
      <c r="AC66" s="402" t="e">
        <f t="shared" si="12"/>
        <v>#DIV/0!</v>
      </c>
      <c r="AD66" s="376">
        <f>SUMIF(竣!AM$8:AM$130,B66,竣!$O$8:$O$130)</f>
        <v>0</v>
      </c>
      <c r="AE66" s="402" t="e">
        <f t="shared" si="13"/>
        <v>#DIV/0!</v>
      </c>
      <c r="AF66" s="376">
        <f>SUMIF(竣!AO$8:AO$130,B66,竣!$BK$8:$BK$130)</f>
        <v>0</v>
      </c>
      <c r="AG66" s="371" t="e">
        <f t="shared" si="14"/>
        <v>#DIV/0!</v>
      </c>
      <c r="AH66" s="438"/>
      <c r="AI66" s="438"/>
      <c r="AJ66" s="438"/>
      <c r="AK66" s="438"/>
      <c r="AM66" s="335"/>
      <c r="AN66" s="338"/>
    </row>
    <row r="67" s="334" customFormat="1" ht="25.15" customHeight="1" spans="1:40">
      <c r="A67" s="374"/>
      <c r="B67" s="386" t="s">
        <v>2774</v>
      </c>
      <c r="C67" s="379">
        <f t="shared" si="57"/>
        <v>0</v>
      </c>
      <c r="D67" s="376">
        <f t="shared" si="62"/>
        <v>0</v>
      </c>
      <c r="E67" s="376">
        <f t="shared" si="63"/>
        <v>0</v>
      </c>
      <c r="F67" s="379">
        <f t="shared" si="64"/>
        <v>0</v>
      </c>
      <c r="G67" s="377">
        <f t="shared" si="19"/>
        <v>0</v>
      </c>
      <c r="H67" s="371" t="e">
        <f t="shared" si="17"/>
        <v>#DIV/0!</v>
      </c>
      <c r="I67" s="458">
        <f>COUNTIF(开!$AS$8:$AS$190,B67)</f>
        <v>0</v>
      </c>
      <c r="J67" s="376">
        <f>SUMIF(开!$AS$8:$AS$190,B67,开!$F$8:$F$213)</f>
        <v>0</v>
      </c>
      <c r="K67" s="376">
        <f>SUMIF(开!$AS$8:$AS$190,B67,开!$L$8:$L$213)</f>
        <v>0</v>
      </c>
      <c r="L67" s="402" t="e">
        <f t="shared" si="6"/>
        <v>#DIV/0!</v>
      </c>
      <c r="M67" s="376">
        <f>SUMIF(开!$AS$8:$AS$190,B67,开!$P$8:$P$213)</f>
        <v>0</v>
      </c>
      <c r="N67" s="402" t="e">
        <f t="shared" si="7"/>
        <v>#DIV/0!</v>
      </c>
      <c r="O67" s="376">
        <f>SUMIF(开!$AS$8:$AS$190,B67,开!$BO$8:$BO$213)</f>
        <v>0</v>
      </c>
      <c r="P67" s="371" t="e">
        <f t="shared" si="8"/>
        <v>#DIV/0!</v>
      </c>
      <c r="Q67" s="376">
        <f>COUNTIF('续 '!AK$8:AK$198,B67)</f>
        <v>0</v>
      </c>
      <c r="R67" s="376">
        <f>SUMIF('续 '!AK$8:AK$198,B67,'续 '!$F$8:$F$198)</f>
        <v>0</v>
      </c>
      <c r="S67" s="376">
        <f>SUMIF('续 '!AK$8:AK$198,B67,'续 '!$G$8:$G$198)</f>
        <v>0</v>
      </c>
      <c r="T67" s="376">
        <f>SUMIF('续 '!AK$8:AK$198,B67,'续 '!$L$8:$L$198)</f>
        <v>0</v>
      </c>
      <c r="U67" s="402" t="e">
        <f t="shared" si="10"/>
        <v>#DIV/0!</v>
      </c>
      <c r="V67" s="376">
        <f>SUMIF('续 '!AM$8:AM$198,B67,'续 '!$O$8:$O$198)</f>
        <v>0</v>
      </c>
      <c r="W67" s="402" t="e">
        <f t="shared" si="11"/>
        <v>#DIV/0!</v>
      </c>
      <c r="X67" s="376">
        <f>SUMIF('续 '!AO$8:AO$198,B67,'续 '!$BJ$8:$BJ$198)</f>
        <v>0</v>
      </c>
      <c r="Y67" s="376">
        <f>COUNTIF(竣!AK$8:AK$130,B67)</f>
        <v>0</v>
      </c>
      <c r="Z67" s="376">
        <f>SUMIF(竣!AK$8:AK$130,B67,竣!$F$8:$F$130)</f>
        <v>0</v>
      </c>
      <c r="AA67" s="376">
        <f>SUMIF(竣!AK$8:AK$130,B67,竣!$G$8:$G$130)</f>
        <v>0</v>
      </c>
      <c r="AB67" s="376">
        <f>SUMIF(竣!AK$8:AK$130,B67,竣!$L$8:$L$130)</f>
        <v>0</v>
      </c>
      <c r="AC67" s="402" t="e">
        <f t="shared" si="12"/>
        <v>#DIV/0!</v>
      </c>
      <c r="AD67" s="384">
        <f>SUMIF(竣!AM$8:AM$130,B67,竣!$O$8:$O$130)</f>
        <v>0</v>
      </c>
      <c r="AE67" s="402" t="e">
        <f t="shared" si="13"/>
        <v>#DIV/0!</v>
      </c>
      <c r="AF67" s="384">
        <f>SUMIF(竣!AO$8:AO$130,B67,竣!$BK$8:$BK$130)</f>
        <v>0</v>
      </c>
      <c r="AG67" s="371" t="e">
        <f t="shared" si="14"/>
        <v>#DIV/0!</v>
      </c>
      <c r="AH67" s="438"/>
      <c r="AI67" s="438"/>
      <c r="AJ67" s="438"/>
      <c r="AK67" s="438"/>
      <c r="AM67" s="335"/>
      <c r="AN67" s="338"/>
    </row>
    <row r="68" s="334" customFormat="1" ht="24.95" customHeight="1" spans="1:40">
      <c r="A68" s="374">
        <v>31</v>
      </c>
      <c r="B68" s="381" t="s">
        <v>1040</v>
      </c>
      <c r="C68" s="379">
        <f t="shared" si="57"/>
        <v>18</v>
      </c>
      <c r="D68" s="376">
        <f t="shared" si="62"/>
        <v>293562.32</v>
      </c>
      <c r="E68" s="376">
        <f t="shared" si="63"/>
        <v>63365</v>
      </c>
      <c r="F68" s="379">
        <f t="shared" si="64"/>
        <v>34230</v>
      </c>
      <c r="G68" s="377">
        <f t="shared" si="19"/>
        <v>0</v>
      </c>
      <c r="H68" s="371">
        <f t="shared" si="17"/>
        <v>0</v>
      </c>
      <c r="I68" s="458">
        <f>COUNTIF(开!$AS$8:$AS$190,B68)</f>
        <v>4</v>
      </c>
      <c r="J68" s="376">
        <f>SUMIF(开!$AS$8:$AS$190,B68,开!$F$8:$F$213)</f>
        <v>92774.06</v>
      </c>
      <c r="K68" s="376">
        <f>SUMIF(开!$AS$8:$AS$190,B68,开!$L$8:$L$213)</f>
        <v>4000</v>
      </c>
      <c r="L68" s="402">
        <f t="shared" si="6"/>
        <v>0.11685655857435</v>
      </c>
      <c r="M68" s="376">
        <f>SUMIF(开!$AS$8:$AS$190,B68,开!$P$8:$P$213)</f>
        <v>0</v>
      </c>
      <c r="N68" s="402">
        <f t="shared" si="7"/>
        <v>0</v>
      </c>
      <c r="O68" s="376">
        <f>SUMIF(开!$AS$8:$AS$190,B68,开!$BO$8:$BO$213)</f>
        <v>0</v>
      </c>
      <c r="P68" s="371">
        <f t="shared" si="8"/>
        <v>0</v>
      </c>
      <c r="Q68" s="376">
        <f>COUNTIF('续 '!AK$8:AK$198,B68)</f>
        <v>12</v>
      </c>
      <c r="R68" s="376">
        <f>SUMIF('续 '!AK$8:AK$198,B68,'续 '!$F$8:$F$198)</f>
        <v>195757.26</v>
      </c>
      <c r="S68" s="376">
        <f>SUMIF('续 '!AK$8:AK$198,B68,'续 '!$G$8:$G$198)</f>
        <v>61838</v>
      </c>
      <c r="T68" s="376">
        <f>SUMIF('续 '!AK$8:AK$198,B68,'续 '!$L$8:$L$198)</f>
        <v>26726</v>
      </c>
      <c r="U68" s="402">
        <f t="shared" si="10"/>
        <v>0.780777096114519</v>
      </c>
      <c r="V68" s="376">
        <f>SUMIF('续 '!AM$8:AM$198,B68,'续 '!$O$8:$O$198)</f>
        <v>0</v>
      </c>
      <c r="W68" s="402">
        <f t="shared" si="11"/>
        <v>0</v>
      </c>
      <c r="X68" s="376">
        <f>SUMIF('续 '!AO$8:AO$198,B68,'续 '!$BJ$8:$BJ$198)</f>
        <v>0</v>
      </c>
      <c r="Y68" s="376">
        <f>COUNTIF(竣!AK$8:AK$130,B68)</f>
        <v>2</v>
      </c>
      <c r="Z68" s="376">
        <f>SUMIF(竣!AK$8:AK$130,B68,竣!$F$8:$F$130)</f>
        <v>5031</v>
      </c>
      <c r="AA68" s="376">
        <f>SUMIF(竣!AK$8:AK$130,B68,竣!$G$8:$G$130)</f>
        <v>1527</v>
      </c>
      <c r="AB68" s="376">
        <f>SUMIF(竣!AK$8:AK$130,B68,竣!$L$8:$L$130)</f>
        <v>3504</v>
      </c>
      <c r="AC68" s="402">
        <f t="shared" si="12"/>
        <v>0.102366345311131</v>
      </c>
      <c r="AD68" s="376">
        <f>SUMIF(竣!AM$8:AM$130,B68,竣!$O$8:$O$130)</f>
        <v>0</v>
      </c>
      <c r="AE68" s="402">
        <f t="shared" si="13"/>
        <v>0</v>
      </c>
      <c r="AF68" s="376">
        <f>SUMIF(竣!AO$8:AO$130,B68,竣!$BK$8:$BK$130)</f>
        <v>0</v>
      </c>
      <c r="AG68" s="371">
        <f t="shared" si="14"/>
        <v>0</v>
      </c>
      <c r="AH68" s="438"/>
      <c r="AI68" s="438"/>
      <c r="AJ68" s="438"/>
      <c r="AK68" s="438"/>
      <c r="AM68" s="335"/>
      <c r="AN68" s="338"/>
    </row>
    <row r="69" s="334" customFormat="1" ht="24.95" customHeight="1" spans="1:40">
      <c r="A69" s="374">
        <v>32</v>
      </c>
      <c r="B69" s="381" t="s">
        <v>1003</v>
      </c>
      <c r="C69" s="379">
        <f t="shared" si="57"/>
        <v>13</v>
      </c>
      <c r="D69" s="376">
        <f t="shared" si="62"/>
        <v>772433.086</v>
      </c>
      <c r="E69" s="376">
        <f t="shared" si="63"/>
        <v>222506</v>
      </c>
      <c r="F69" s="379">
        <f t="shared" si="64"/>
        <v>95319.086</v>
      </c>
      <c r="G69" s="377">
        <f t="shared" si="19"/>
        <v>0</v>
      </c>
      <c r="H69" s="371">
        <f t="shared" si="17"/>
        <v>0</v>
      </c>
      <c r="I69" s="458">
        <f>COUNTIF(开!$AS$8:$AS$190,B69)</f>
        <v>6</v>
      </c>
      <c r="J69" s="376">
        <f>SUMIF(开!$AS$8:$AS$190,B69,开!$F$8:$F$213)</f>
        <v>267201</v>
      </c>
      <c r="K69" s="376">
        <f>SUMIF(开!$AS$8:$AS$190,B69,开!$L$8:$L$213)</f>
        <v>38500</v>
      </c>
      <c r="L69" s="402">
        <f t="shared" si="6"/>
        <v>0.40390651668649</v>
      </c>
      <c r="M69" s="376">
        <f>SUMIF(开!$AS$8:$AS$190,B69,开!$P$8:$P$213)</f>
        <v>0</v>
      </c>
      <c r="N69" s="402">
        <f t="shared" si="7"/>
        <v>0</v>
      </c>
      <c r="O69" s="376">
        <f>SUMIF(开!$AS$8:$AS$190,B69,开!$BO$8:$BO$213)</f>
        <v>0</v>
      </c>
      <c r="P69" s="371">
        <f t="shared" si="8"/>
        <v>0</v>
      </c>
      <c r="Q69" s="376">
        <f>COUNTIF('续 '!AK$8:AK$198,B69)</f>
        <v>5</v>
      </c>
      <c r="R69" s="376">
        <f>SUMIF('续 '!AK$8:AK$198,B69,'续 '!$F$8:$F$198)</f>
        <v>388386</v>
      </c>
      <c r="S69" s="376">
        <f>SUMIF('续 '!AK$8:AK$198,B69,'续 '!$G$8:$G$198)</f>
        <v>118479</v>
      </c>
      <c r="T69" s="376">
        <f>SUMIF('续 '!AK$8:AK$198,B69,'续 '!$L$8:$L$198)</f>
        <v>44000</v>
      </c>
      <c r="U69" s="402">
        <f t="shared" si="10"/>
        <v>0.461607447641703</v>
      </c>
      <c r="V69" s="376">
        <f>SUMIF('续 '!AM$8:AM$198,B69,'续 '!$O$8:$O$198)</f>
        <v>0</v>
      </c>
      <c r="W69" s="402">
        <f t="shared" si="11"/>
        <v>0</v>
      </c>
      <c r="X69" s="376">
        <f>SUMIF('续 '!AO$8:AO$198,B69,'续 '!$BJ$8:$BJ$198)</f>
        <v>0</v>
      </c>
      <c r="Y69" s="376">
        <f>COUNTIF(竣!AK$8:AK$130,B69)</f>
        <v>2</v>
      </c>
      <c r="Z69" s="376">
        <f>SUMIF(竣!AK$8:AK$130,B69,竣!$F$8:$F$130)</f>
        <v>116846.086</v>
      </c>
      <c r="AA69" s="376">
        <f>SUMIF(竣!AK$8:AK$130,B69,竣!$G$8:$G$130)</f>
        <v>104027</v>
      </c>
      <c r="AB69" s="376">
        <f>SUMIF(竣!AK$8:AK$130,B69,竣!$L$8:$L$130)</f>
        <v>12819.086</v>
      </c>
      <c r="AC69" s="402">
        <f t="shared" si="12"/>
        <v>0.134486035671807</v>
      </c>
      <c r="AD69" s="376">
        <f>SUMIF(竣!AM$8:AM$130,B69,竣!$O$8:$O$130)</f>
        <v>0</v>
      </c>
      <c r="AE69" s="402">
        <f t="shared" si="13"/>
        <v>0</v>
      </c>
      <c r="AF69" s="376">
        <f>SUMIF(竣!AO$8:AO$130,B69,竣!$BK$8:$BK$130)</f>
        <v>0</v>
      </c>
      <c r="AG69" s="371">
        <f t="shared" si="14"/>
        <v>0</v>
      </c>
      <c r="AH69" s="438"/>
      <c r="AI69" s="438"/>
      <c r="AJ69" s="438"/>
      <c r="AK69" s="438"/>
      <c r="AM69" s="335"/>
      <c r="AN69" s="338"/>
    </row>
    <row r="70" s="334" customFormat="1" ht="30" customHeight="1" spans="1:40">
      <c r="A70" s="374"/>
      <c r="B70" s="378" t="s">
        <v>2775</v>
      </c>
      <c r="C70" s="379">
        <f t="shared" ref="C70:F70" si="65">C7-C9-C10-C11-C13-C16-C21-C24</f>
        <v>115</v>
      </c>
      <c r="D70" s="376">
        <f t="shared" si="65"/>
        <v>9949861.53000001</v>
      </c>
      <c r="E70" s="376">
        <f t="shared" si="65"/>
        <v>1440493.4</v>
      </c>
      <c r="F70" s="379">
        <f t="shared" si="65"/>
        <v>1395356</v>
      </c>
      <c r="G70" s="377" t="e">
        <f t="shared" si="19"/>
        <v>#REF!</v>
      </c>
      <c r="H70" s="371" t="e">
        <f t="shared" si="17"/>
        <v>#REF!</v>
      </c>
      <c r="I70" s="376">
        <f t="shared" ref="I70:K70" si="66">I7-I9-I10-I11-I13-I16-I21-I24</f>
        <v>41</v>
      </c>
      <c r="J70" s="376" t="e">
        <f t="shared" si="66"/>
        <v>#REF!</v>
      </c>
      <c r="K70" s="376">
        <f t="shared" si="66"/>
        <v>494719</v>
      </c>
      <c r="L70" s="402">
        <f t="shared" si="6"/>
        <v>0.354546796659777</v>
      </c>
      <c r="M70" s="376" t="e">
        <f t="shared" ref="M70:T70" si="67">M7-M9-M10-M11-M13-M16-M21-M24</f>
        <v>#REF!</v>
      </c>
      <c r="N70" s="402" t="e">
        <f t="shared" si="7"/>
        <v>#REF!</v>
      </c>
      <c r="O70" s="376" t="e">
        <f t="shared" si="67"/>
        <v>#REF!</v>
      </c>
      <c r="P70" s="371" t="e">
        <f t="shared" si="8"/>
        <v>#REF!</v>
      </c>
      <c r="Q70" s="376">
        <f t="shared" si="67"/>
        <v>49</v>
      </c>
      <c r="R70" s="376" t="e">
        <f t="shared" si="67"/>
        <v>#REF!</v>
      </c>
      <c r="S70" s="376" t="e">
        <f t="shared" si="67"/>
        <v>#REF!</v>
      </c>
      <c r="T70" s="376">
        <f t="shared" si="67"/>
        <v>662671</v>
      </c>
      <c r="U70" s="402">
        <f t="shared" si="10"/>
        <v>0.474911778786202</v>
      </c>
      <c r="V70" s="376" t="e">
        <f t="shared" ref="V70:AB70" si="68">V7-V9-V10-V11-V13-V16-V21-V24</f>
        <v>#REF!</v>
      </c>
      <c r="W70" s="402" t="e">
        <f t="shared" si="11"/>
        <v>#REF!</v>
      </c>
      <c r="X70" s="376" t="e">
        <f t="shared" si="68"/>
        <v>#REF!</v>
      </c>
      <c r="Y70" s="376">
        <f t="shared" si="68"/>
        <v>25</v>
      </c>
      <c r="Z70" s="376" t="e">
        <f t="shared" si="68"/>
        <v>#REF!</v>
      </c>
      <c r="AA70" s="376" t="e">
        <f t="shared" si="68"/>
        <v>#REF!</v>
      </c>
      <c r="AB70" s="376">
        <f t="shared" si="68"/>
        <v>237966</v>
      </c>
      <c r="AC70" s="402">
        <f t="shared" si="12"/>
        <v>0.170541424554021</v>
      </c>
      <c r="AD70" s="376" t="e">
        <f>AD7-AD9-AD10-AD11-AD13-AD16-AD21-AD24</f>
        <v>#REF!</v>
      </c>
      <c r="AE70" s="402" t="e">
        <f t="shared" si="13"/>
        <v>#REF!</v>
      </c>
      <c r="AF70" s="376" t="e">
        <f>AF7-AF9-AF10-AF11-AF13-AF16-AF21-AF24</f>
        <v>#REF!</v>
      </c>
      <c r="AG70" s="371" t="e">
        <f t="shared" si="14"/>
        <v>#REF!</v>
      </c>
      <c r="AH70" s="438"/>
      <c r="AI70" s="438"/>
      <c r="AJ70" s="438"/>
      <c r="AK70" s="438"/>
      <c r="AM70" s="335"/>
      <c r="AN70" s="338"/>
    </row>
  </sheetData>
  <autoFilter ref="A6:AB70">
    <extLst/>
  </autoFilter>
  <mergeCells count="13">
    <mergeCell ref="A2:AC2"/>
    <mergeCell ref="I4:P4"/>
    <mergeCell ref="Q4:X4"/>
    <mergeCell ref="Y4:AB4"/>
    <mergeCell ref="A7:B7"/>
    <mergeCell ref="A4:A5"/>
    <mergeCell ref="B4:B5"/>
    <mergeCell ref="C4:C5"/>
    <mergeCell ref="D4:D5"/>
    <mergeCell ref="E4:E5"/>
    <mergeCell ref="F4:F5"/>
    <mergeCell ref="G4:G5"/>
    <mergeCell ref="H4:H5"/>
  </mergeCells>
  <printOptions horizontalCentered="1"/>
  <pageMargins left="0.25" right="0.25" top="0.75" bottom="0.75" header="0.3" footer="0.3"/>
  <pageSetup paperSize="9" firstPageNumber="4294963191" fitToHeight="0" orientation="landscape" blackAndWhite="1" useFirstPageNumber="1"/>
  <headerFooter alignWithMargins="0">
    <oddFooter>&amp;C第 &amp;P 页，共 &amp;N 页</oddFooter>
  </headerFooter>
  <rowBreaks count="3" manualBreakCount="3">
    <brk id="20" max="28" man="1"/>
    <brk id="34" max="28" man="1"/>
    <brk id="54" max="28"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71"/>
  <sheetViews>
    <sheetView showZeros="0" zoomScale="70" zoomScaleNormal="70" topLeftCell="A2" workbookViewId="0">
      <pane xSplit="1" ySplit="4" topLeftCell="B6" activePane="bottomRight" state="frozen"/>
      <selection/>
      <selection pane="topRight"/>
      <selection pane="bottomLeft"/>
      <selection pane="bottomRight" activeCell="L7" sqref="L7"/>
    </sheetView>
  </sheetViews>
  <sheetFormatPr defaultColWidth="8.85714285714286" defaultRowHeight="12"/>
  <cols>
    <col min="1" max="1" width="8.85714285714286" style="335" customWidth="1"/>
    <col min="2" max="2" width="31.1428571428571" style="336" customWidth="1"/>
    <col min="3" max="3" width="7.71428571428571" style="337" customWidth="1"/>
    <col min="4" max="4" width="12.8571428571429" style="338" customWidth="1"/>
    <col min="5" max="6" width="10.7142857142857" style="338" customWidth="1"/>
    <col min="7" max="7" width="10.7142857142857" style="413" hidden="1" customWidth="1"/>
    <col min="8" max="8" width="10.7142857142857" style="340" hidden="1" customWidth="1"/>
    <col min="9" max="9" width="8.71428571428571" style="337" customWidth="1"/>
    <col min="10" max="12" width="12.7142857142857" style="337" customWidth="1"/>
    <col min="13" max="13" width="8.57142857142857" style="337" customWidth="1"/>
    <col min="14" max="14" width="11.5714285714286" style="414" hidden="1" customWidth="1"/>
    <col min="15" max="15" width="12.2857142857143" style="415" hidden="1" customWidth="1"/>
    <col min="16" max="16" width="9.71428571428571" style="337" customWidth="1"/>
    <col min="17" max="19" width="12.7142857142857" style="337" customWidth="1"/>
    <col min="20" max="20" width="9.28571428571429" style="337" customWidth="1"/>
    <col min="21" max="21" width="14.2857142857143" style="414" hidden="1" customWidth="1"/>
    <col min="22" max="22" width="13" style="415" hidden="1" customWidth="1"/>
    <col min="23" max="23" width="8.71428571428571" style="337" customWidth="1"/>
    <col min="24" max="25" width="12.7142857142857" style="337" customWidth="1"/>
    <col min="26" max="26" width="11.2857142857143" style="337" customWidth="1"/>
    <col min="27" max="27" width="9" style="337" customWidth="1"/>
    <col min="28" max="28" width="13.4285714285714" style="414" hidden="1" customWidth="1"/>
    <col min="29" max="29" width="13.4285714285714" style="415" hidden="1" customWidth="1"/>
    <col min="30" max="16384" width="8.85714285714286" style="335"/>
  </cols>
  <sheetData>
    <row r="1" ht="21.75" hidden="1" customHeight="1" spans="1:9">
      <c r="A1" s="343" t="s">
        <v>2744</v>
      </c>
      <c r="B1" s="344"/>
      <c r="C1" s="345"/>
      <c r="D1" s="346"/>
      <c r="E1" s="346"/>
      <c r="F1" s="346"/>
      <c r="G1" s="416"/>
      <c r="H1" s="348"/>
      <c r="I1" s="335"/>
    </row>
    <row r="2" ht="68.65" customHeight="1" spans="1:29">
      <c r="A2" s="349" t="s">
        <v>2776</v>
      </c>
      <c r="B2" s="349"/>
      <c r="C2" s="349"/>
      <c r="D2" s="349"/>
      <c r="E2" s="349"/>
      <c r="F2" s="349"/>
      <c r="G2" s="349"/>
      <c r="H2" s="349"/>
      <c r="I2" s="349"/>
      <c r="J2" s="349"/>
      <c r="K2" s="349"/>
      <c r="L2" s="349"/>
      <c r="M2" s="349"/>
      <c r="N2" s="349"/>
      <c r="O2" s="349"/>
      <c r="P2" s="349"/>
      <c r="Q2" s="349"/>
      <c r="R2" s="349"/>
      <c r="S2" s="349"/>
      <c r="T2" s="349"/>
      <c r="U2" s="349"/>
      <c r="V2" s="349"/>
      <c r="W2" s="349"/>
      <c r="X2" s="349"/>
      <c r="Y2" s="349"/>
      <c r="Z2" s="349"/>
      <c r="AA2" s="349"/>
      <c r="AB2" s="349"/>
      <c r="AC2" s="349"/>
    </row>
    <row r="3" s="333" customFormat="1" ht="18.75" customHeight="1" spans="1:29">
      <c r="A3" s="350"/>
      <c r="B3" s="350"/>
      <c r="C3" s="350"/>
      <c r="D3" s="351"/>
      <c r="E3" s="352"/>
      <c r="F3" s="352"/>
      <c r="G3" s="417"/>
      <c r="H3" s="354"/>
      <c r="I3" s="425"/>
      <c r="J3" s="425"/>
      <c r="K3" s="425"/>
      <c r="L3" s="387"/>
      <c r="M3" s="387"/>
      <c r="N3" s="426"/>
      <c r="O3" s="427"/>
      <c r="P3" s="387"/>
      <c r="Q3" s="387"/>
      <c r="R3" s="387"/>
      <c r="S3" s="430" t="s">
        <v>3</v>
      </c>
      <c r="T3" s="387"/>
      <c r="U3" s="426"/>
      <c r="V3" s="427"/>
      <c r="W3" s="387"/>
      <c r="X3" s="387"/>
      <c r="Y3" s="431" t="s">
        <v>3</v>
      </c>
      <c r="AA3" s="387"/>
      <c r="AB3" s="426"/>
      <c r="AC3" s="427"/>
    </row>
    <row r="4" ht="30" customHeight="1" spans="1:29">
      <c r="A4" s="355" t="s">
        <v>1695</v>
      </c>
      <c r="B4" s="355" t="s">
        <v>2746</v>
      </c>
      <c r="C4" s="355" t="s">
        <v>2721</v>
      </c>
      <c r="D4" s="355" t="s">
        <v>1700</v>
      </c>
      <c r="E4" s="355" t="s">
        <v>1701</v>
      </c>
      <c r="F4" s="355" t="s">
        <v>2724</v>
      </c>
      <c r="G4" s="418" t="s">
        <v>2726</v>
      </c>
      <c r="H4" s="357" t="s">
        <v>2727</v>
      </c>
      <c r="I4" s="390" t="s">
        <v>2777</v>
      </c>
      <c r="J4" s="391"/>
      <c r="K4" s="391"/>
      <c r="L4" s="391"/>
      <c r="M4" s="391"/>
      <c r="N4" s="391"/>
      <c r="O4" s="392"/>
      <c r="P4" s="390" t="s">
        <v>2778</v>
      </c>
      <c r="Q4" s="391"/>
      <c r="R4" s="391"/>
      <c r="S4" s="391"/>
      <c r="T4" s="391"/>
      <c r="U4" s="391"/>
      <c r="V4" s="392"/>
      <c r="W4" s="390" t="s">
        <v>2779</v>
      </c>
      <c r="X4" s="391"/>
      <c r="Y4" s="391"/>
      <c r="Z4" s="391"/>
      <c r="AA4" s="392"/>
      <c r="AB4" s="432"/>
      <c r="AC4" s="433"/>
    </row>
    <row r="5" ht="69.6" customHeight="1" spans="1:29">
      <c r="A5" s="355"/>
      <c r="B5" s="355"/>
      <c r="C5" s="355"/>
      <c r="D5" s="355"/>
      <c r="E5" s="355"/>
      <c r="F5" s="355"/>
      <c r="G5" s="419"/>
      <c r="H5" s="359"/>
      <c r="I5" s="395" t="s">
        <v>2731</v>
      </c>
      <c r="J5" s="395" t="s">
        <v>1700</v>
      </c>
      <c r="K5" s="395" t="s">
        <v>1701</v>
      </c>
      <c r="L5" s="395" t="s">
        <v>1709</v>
      </c>
      <c r="M5" s="395" t="s">
        <v>2732</v>
      </c>
      <c r="N5" s="410" t="s">
        <v>2733</v>
      </c>
      <c r="O5" s="397" t="s">
        <v>2727</v>
      </c>
      <c r="P5" s="395" t="s">
        <v>2731</v>
      </c>
      <c r="Q5" s="395" t="s">
        <v>1700</v>
      </c>
      <c r="R5" s="395" t="s">
        <v>1701</v>
      </c>
      <c r="S5" s="395" t="s">
        <v>1709</v>
      </c>
      <c r="T5" s="395" t="s">
        <v>2732</v>
      </c>
      <c r="U5" s="410" t="s">
        <v>2733</v>
      </c>
      <c r="V5" s="397" t="s">
        <v>2727</v>
      </c>
      <c r="W5" s="395" t="s">
        <v>2731</v>
      </c>
      <c r="X5" s="395" t="s">
        <v>1700</v>
      </c>
      <c r="Y5" s="395" t="s">
        <v>1701</v>
      </c>
      <c r="Z5" s="395" t="s">
        <v>1709</v>
      </c>
      <c r="AA5" s="395" t="s">
        <v>2732</v>
      </c>
      <c r="AB5" s="410" t="s">
        <v>2733</v>
      </c>
      <c r="AC5" s="397" t="s">
        <v>2727</v>
      </c>
    </row>
    <row r="6" ht="27.75" customHeight="1" spans="1:29">
      <c r="A6" s="360"/>
      <c r="B6" s="361"/>
      <c r="C6" s="360"/>
      <c r="D6" s="362"/>
      <c r="E6" s="363"/>
      <c r="F6" s="364"/>
      <c r="G6" s="420"/>
      <c r="H6" s="421"/>
      <c r="I6" s="398"/>
      <c r="J6" s="398"/>
      <c r="K6" s="398"/>
      <c r="L6" s="398"/>
      <c r="M6" s="398"/>
      <c r="N6" s="428"/>
      <c r="O6" s="429"/>
      <c r="P6" s="398"/>
      <c r="Q6" s="398"/>
      <c r="R6" s="398"/>
      <c r="S6" s="398"/>
      <c r="T6" s="398"/>
      <c r="U6" s="428"/>
      <c r="V6" s="429"/>
      <c r="W6" s="398"/>
      <c r="X6" s="398"/>
      <c r="Y6" s="398"/>
      <c r="Z6" s="398"/>
      <c r="AA6" s="398"/>
      <c r="AB6" s="428"/>
      <c r="AC6" s="429"/>
    </row>
    <row r="7" s="412" customFormat="1" ht="49.9" customHeight="1" spans="1:31">
      <c r="A7" s="422" t="s">
        <v>2739</v>
      </c>
      <c r="B7" s="422"/>
      <c r="C7" s="369">
        <f>C8+C22+C37</f>
        <v>410</v>
      </c>
      <c r="D7" s="369">
        <f t="shared" ref="D7:Z7" si="0">D8+D22+D37</f>
        <v>26027936.946</v>
      </c>
      <c r="E7" s="369">
        <f ca="1" t="shared" si="0"/>
        <v>3083293.4</v>
      </c>
      <c r="F7" s="369">
        <f t="shared" si="0"/>
        <v>3321353.886</v>
      </c>
      <c r="G7" s="370">
        <f t="shared" si="0"/>
        <v>0</v>
      </c>
      <c r="H7" s="371">
        <f t="shared" ref="H7:H36" si="1">G7/F7</f>
        <v>0</v>
      </c>
      <c r="I7" s="369">
        <f>I8+I22+I37</f>
        <v>169</v>
      </c>
      <c r="J7" s="369">
        <f t="shared" si="0"/>
        <v>16894510.22</v>
      </c>
      <c r="K7" s="369">
        <f t="shared" si="0"/>
        <v>1176119</v>
      </c>
      <c r="L7" s="369">
        <f t="shared" si="0"/>
        <v>1793173</v>
      </c>
      <c r="M7" s="402">
        <f t="shared" ref="M7:M47" si="2">L7/F7</f>
        <v>0.539892182991548</v>
      </c>
      <c r="N7" s="368">
        <f>N8+N22+N37</f>
        <v>0</v>
      </c>
      <c r="O7" s="402">
        <f>N7/L7</f>
        <v>0</v>
      </c>
      <c r="P7" s="369">
        <f t="shared" si="0"/>
        <v>201</v>
      </c>
      <c r="Q7" s="369">
        <f t="shared" si="0"/>
        <v>8540646.556</v>
      </c>
      <c r="R7" s="369">
        <f t="shared" si="0"/>
        <v>1769003.4</v>
      </c>
      <c r="S7" s="369">
        <f t="shared" si="0"/>
        <v>1364400.886</v>
      </c>
      <c r="T7" s="402">
        <f t="shared" ref="T7:T47" si="3">S7/F7</f>
        <v>0.410796600672741</v>
      </c>
      <c r="U7" s="368">
        <f>U8+U22+U37</f>
        <v>0</v>
      </c>
      <c r="V7" s="402">
        <f>U7/S7</f>
        <v>0</v>
      </c>
      <c r="W7" s="369">
        <f t="shared" si="0"/>
        <v>40</v>
      </c>
      <c r="X7" s="369">
        <f t="shared" si="0"/>
        <v>592780.17</v>
      </c>
      <c r="Y7" s="369">
        <f ca="1" t="shared" si="0"/>
        <v>138171</v>
      </c>
      <c r="Z7" s="369">
        <f t="shared" si="0"/>
        <v>163780</v>
      </c>
      <c r="AA7" s="402">
        <f t="shared" ref="AA7:AA47" si="4">Z7/F7</f>
        <v>0.0493112163357109</v>
      </c>
      <c r="AB7" s="368">
        <f>AB8+AB22+AB37</f>
        <v>0</v>
      </c>
      <c r="AC7" s="402">
        <f>AB7/Z7</f>
        <v>0</v>
      </c>
      <c r="AE7" s="434"/>
    </row>
    <row r="8" ht="30" customHeight="1" spans="1:29">
      <c r="A8" s="372" t="s">
        <v>76</v>
      </c>
      <c r="B8" s="373" t="s">
        <v>2747</v>
      </c>
      <c r="C8" s="368">
        <f>SUM(C9:C21)-C14-C20</f>
        <v>358</v>
      </c>
      <c r="D8" s="368">
        <f t="shared" ref="D8:Z8" si="5">SUM(D9:D21)-D14-D20</f>
        <v>16989167.416</v>
      </c>
      <c r="E8" s="368">
        <f ca="1" t="shared" si="5"/>
        <v>2125932</v>
      </c>
      <c r="F8" s="368">
        <f t="shared" si="5"/>
        <v>2466894.886</v>
      </c>
      <c r="G8" s="370">
        <f t="shared" si="5"/>
        <v>0</v>
      </c>
      <c r="H8" s="371">
        <f t="shared" si="1"/>
        <v>0</v>
      </c>
      <c r="I8" s="368">
        <f t="shared" si="5"/>
        <v>160</v>
      </c>
      <c r="J8" s="368">
        <f t="shared" si="5"/>
        <v>11175749.22</v>
      </c>
      <c r="K8" s="368">
        <f t="shared" si="5"/>
        <v>1158296</v>
      </c>
      <c r="L8" s="368">
        <f t="shared" si="5"/>
        <v>1656272</v>
      </c>
      <c r="M8" s="402">
        <f t="shared" si="2"/>
        <v>0.671399502832323</v>
      </c>
      <c r="N8" s="368">
        <f>SUM(N9:N21)-N14-N20</f>
        <v>0</v>
      </c>
      <c r="O8" s="402">
        <f t="shared" ref="O8:O71" si="6">N8/L8</f>
        <v>0</v>
      </c>
      <c r="P8" s="368">
        <f t="shared" si="5"/>
        <v>163</v>
      </c>
      <c r="Q8" s="368">
        <f t="shared" si="5"/>
        <v>5297426.026</v>
      </c>
      <c r="R8" s="368">
        <f t="shared" si="5"/>
        <v>845025</v>
      </c>
      <c r="S8" s="368">
        <f t="shared" si="5"/>
        <v>665482.886</v>
      </c>
      <c r="T8" s="402">
        <f t="shared" si="3"/>
        <v>0.269765400129821</v>
      </c>
      <c r="U8" s="368">
        <f>SUM(U9:U21)-U14-U20</f>
        <v>0</v>
      </c>
      <c r="V8" s="402">
        <f t="shared" ref="V8:V71" si="7">U8/S8</f>
        <v>0</v>
      </c>
      <c r="W8" s="368">
        <f t="shared" si="5"/>
        <v>35</v>
      </c>
      <c r="X8" s="368">
        <f t="shared" si="5"/>
        <v>515992.17</v>
      </c>
      <c r="Y8" s="368">
        <f ca="1" t="shared" si="5"/>
        <v>122611</v>
      </c>
      <c r="Z8" s="368">
        <f t="shared" si="5"/>
        <v>145140</v>
      </c>
      <c r="AA8" s="402">
        <f t="shared" si="4"/>
        <v>0.0588350970378557</v>
      </c>
      <c r="AB8" s="368">
        <f>SUM(AB9:AB21)-AB14-AB20</f>
        <v>0</v>
      </c>
      <c r="AC8" s="402">
        <f t="shared" ref="AC8:AC71" si="8">AB8/Z8</f>
        <v>0</v>
      </c>
    </row>
    <row r="9" s="334" customFormat="1" ht="30" customHeight="1" spans="1:29">
      <c r="A9" s="374">
        <v>1</v>
      </c>
      <c r="B9" s="375" t="s">
        <v>269</v>
      </c>
      <c r="C9" s="376">
        <f t="shared" ref="C9:F13" si="9">I9+P9+W9</f>
        <v>68</v>
      </c>
      <c r="D9" s="384">
        <f t="shared" si="9"/>
        <v>2068430</v>
      </c>
      <c r="E9" s="384">
        <f t="shared" si="9"/>
        <v>199958</v>
      </c>
      <c r="F9" s="384">
        <f t="shared" si="9"/>
        <v>402723</v>
      </c>
      <c r="G9" s="385">
        <f t="shared" ref="G9:G13" si="10">N9+U9+AB9</f>
        <v>0</v>
      </c>
      <c r="H9" s="371">
        <f t="shared" si="1"/>
        <v>0</v>
      </c>
      <c r="I9" s="376">
        <f>COUNTIF(开!$BN$8:$BN$213,"产业"&amp;$B9)+COUNTIF('续 '!$BI$8:$BI$198,"产业"&amp;$B9)+COUNTIF(竣!$BJ$26:$BJ$130,"产业"&amp;$B9)</f>
        <v>25</v>
      </c>
      <c r="J9" s="376">
        <f>SUMIF(开!$BN$8:$BN$213,"产业"&amp;$B9,开!$F$8:$F$213)+SUMIF('续 '!$BI$8:$BI$198,"产业"&amp;$B9,'续 '!$F$8:$F$198)+SUMIF(竣!$BJ$26:$BJ$130,"产业"&amp;$B9,竣!$F$26:$F$130)</f>
        <v>1597770</v>
      </c>
      <c r="K9" s="376">
        <f>SUMIF('续 '!$BI$8:$BI$198,"产业"&amp;$B9,'续 '!$G$8:$G$198)+SUMIF(竣!$BJ$26:$BJ$130,"产业"&amp;$B9,竣!$G$26:$G$130)</f>
        <v>161132</v>
      </c>
      <c r="L9" s="376">
        <f>SUMIF(开!$BN$8:$BN$213,"产业"&amp;$B9,开!$L$8:$L$213)+SUMIF('续 '!$BI$8:$BI$198,"产业"&amp;$B9,'续 '!$L$8:$L$198)+SUMIF(竣!$BJ$26:$BJ$130,"产业"&amp;$B9,竣!$L$26:$L$130)</f>
        <v>277270</v>
      </c>
      <c r="M9" s="403">
        <f t="shared" si="2"/>
        <v>0.688488117142552</v>
      </c>
      <c r="N9" s="376">
        <f>SUMIF(开!$BN$8:$BN$213,"产业"&amp;$B9,开!$P$8:$P$213)+SUMIF('续 '!$BI$8:$BI$198,"产业"&amp;$B9,'续 '!$O$8:$O$198)+SUMIF(竣!$BJ$26:$BJ$130,"产业"&amp;$B9,竣!$O$26:$O$130)</f>
        <v>0</v>
      </c>
      <c r="O9" s="402">
        <f t="shared" si="6"/>
        <v>0</v>
      </c>
      <c r="P9" s="376">
        <f>COUNTIF(开!$BN$8:$BN$213,"基础设施"&amp;$B9)+COUNTIF('续 '!$BI$8:$BI$198,"基础设施"&amp;$B9)+COUNTIF(竣!$BJ$26:$BJ$130,"基础设施"&amp;$B9)</f>
        <v>29</v>
      </c>
      <c r="Q9" s="376">
        <f>SUMIF(开!$BN$8:$BN$213,"基础设施"&amp;$B9,开!$F$8:$F$213)+SUMIF('续 '!$BI$8:$BI$198,"基础设施"&amp;$B9,'续 '!$F$8:$F$198)+SUMIF(竣!$BJ$26:$BJ$130,"基础设施"&amp;$B9,竣!$F$26:$F$130)</f>
        <v>259432</v>
      </c>
      <c r="R9" s="376">
        <f>SUMIF('续 '!$BI$8:$BI$198,"基础设施"&amp;$B9,'续 '!$G$8:$G$198)+SUMIF(竣!$BJ$26:$BJ$130,"基础设施"&amp;$B9,竣!$G$26:$G$130)</f>
        <v>20241</v>
      </c>
      <c r="S9" s="376">
        <f>SUMIF(开!$BN$8:$BN$213,"基础设施"&amp;$B9,开!$L$8:$L$213)+SUMIF('续 '!$BI$8:$BI$198,"基础设施"&amp;$B9,'续 '!$L$8:$L$198)+SUMIF(竣!$BJ$26:$BJ$130,"基础设施"&amp;$B9,竣!$L$26:$L$130)</f>
        <v>78221</v>
      </c>
      <c r="T9" s="403">
        <f t="shared" si="3"/>
        <v>0.19423027738669</v>
      </c>
      <c r="U9" s="376">
        <f>SUMIF(开!$BN$8:$BN$213,"基础设施"&amp;$B9,开!$P$8:$P$213)+SUMIF('续 '!$BI$8:$BI$198,"基础设施"&amp;$B9,'续 '!$O$8:$O$198)+SUMIF(竣!$BJ$26:$BJ$130,"基础设施"&amp;$B9,竣!$O$26:$O$130)</f>
        <v>0</v>
      </c>
      <c r="V9" s="402">
        <f t="shared" si="7"/>
        <v>0</v>
      </c>
      <c r="W9" s="376">
        <f>COUNTIF(开!$BN$8:$BN$213,"民生设施"&amp;$B9)+COUNTIF('续 '!$BI$8:$BI$198,"民生设施"&amp;$B9)+COUNTIF(竣!$BJ$26:$BJ$130,"民生设施"&amp;$B9)</f>
        <v>14</v>
      </c>
      <c r="X9" s="376">
        <f>SUMIF(开!$BN$8:$BN$213,"民生设施"&amp;$B9,开!$F$8:$F$213)+SUMIF('续 '!$BI$8:$BI$198,"民生设施"&amp;$B9,'续 '!$F$8:$F$198)+SUMIF(竣!$BJ$26:$BJ$130,"民生设施"&amp;$B9,竣!$F$26:$F$130)</f>
        <v>211228</v>
      </c>
      <c r="Y9" s="376">
        <f>SUMIF('续 '!$BI$8:$BI$198,"民生设施"&amp;$B9,'续 '!$G$8:$G$198)+SUMIF(竣!$BJ$26:$BJ$130,"民生设施"&amp;$B9,竣!$G$26:$G$130)</f>
        <v>18585</v>
      </c>
      <c r="Z9" s="376">
        <f>SUMIF(开!$BN$8:$BN$213,"民生设施"&amp;$B9,开!$L$8:$L$213)+SUMIF('续 '!$BI$8:$BI$198,"民生设施"&amp;$B9,'续 '!$L$8:$L$198)+SUMIF(竣!$BJ$26:$BJ$130,"民生设施"&amp;$B9,竣!$L$26:$L$130)</f>
        <v>47232</v>
      </c>
      <c r="AA9" s="403">
        <f t="shared" si="4"/>
        <v>0.117281605470758</v>
      </c>
      <c r="AB9" s="376">
        <f>SUMIF(开!$BN$8:$BN$213,"民生设施"&amp;$B9,开!$P$8:$P$213)+SUMIF('续 '!$BI$8:$BI$198,"民生设施"&amp;$B9,'续 '!$O$8:$O$198)+SUMIF(竣!$BJ$26:$BJ$130,"民生设施"&amp;$B9,竣!$O$26:$O$130)</f>
        <v>0</v>
      </c>
      <c r="AC9" s="402">
        <f t="shared" si="8"/>
        <v>0</v>
      </c>
    </row>
    <row r="10" s="334" customFormat="1" ht="30" customHeight="1" spans="1:29">
      <c r="A10" s="374">
        <v>2</v>
      </c>
      <c r="B10" s="375" t="s">
        <v>317</v>
      </c>
      <c r="C10" s="376">
        <f t="shared" si="9"/>
        <v>51</v>
      </c>
      <c r="D10" s="384">
        <f t="shared" si="9"/>
        <v>983660</v>
      </c>
      <c r="E10" s="384">
        <f t="shared" si="9"/>
        <v>176386</v>
      </c>
      <c r="F10" s="384">
        <f t="shared" si="9"/>
        <v>217765</v>
      </c>
      <c r="G10" s="385">
        <f t="shared" si="10"/>
        <v>0</v>
      </c>
      <c r="H10" s="371">
        <f t="shared" si="1"/>
        <v>0</v>
      </c>
      <c r="I10" s="376">
        <f>COUNTIF(开!$BN$8:$BN$213,"产业"&amp;$B10)+COUNTIF('续 '!$BI$8:$BI$198,"产业"&amp;$B10)+COUNTIF(竣!$BJ$26:$BJ$130,"产业"&amp;$B10)</f>
        <v>23</v>
      </c>
      <c r="J10" s="376">
        <f>SUMIF(开!$BN$8:$BN$213,"产业"&amp;$B10,开!$F$8:$F$213)+SUMIF('续 '!$BI$8:$BI$198,"产业"&amp;$B10,'续 '!$F$8:$F$198)+SUMIF(竣!$BJ$26:$BJ$130,"产业"&amp;$B10,竣!$F$26:$F$130)</f>
        <v>460438</v>
      </c>
      <c r="K10" s="376">
        <f>SUMIF('续 '!$BI$8:$BI$198,"产业"&amp;$B10,'续 '!$G$8:$G$198)+SUMIF(竣!$BJ$26:$BJ$130,"产业"&amp;$B10,竣!$G$26:$G$130)</f>
        <v>62050</v>
      </c>
      <c r="L10" s="376">
        <f>SUMIF(开!$BN$8:$BN$213,"产业"&amp;$B10,开!$L$8:$L$213)+SUMIF('续 '!$BI$8:$BI$198,"产业"&amp;$B10,'续 '!$L$8:$L$198)+SUMIF(竣!$BJ$26:$BJ$130,"产业"&amp;$B10,竣!$L$26:$L$130)</f>
        <v>105500</v>
      </c>
      <c r="M10" s="403">
        <f t="shared" si="2"/>
        <v>0.484467200881684</v>
      </c>
      <c r="N10" s="376">
        <f>SUMIF(开!$BN$8:$BN$213,"产业"&amp;$B10,开!$P$8:$P$213)+SUMIF('续 '!$BI$8:$BI$198,"产业"&amp;$B10,'续 '!$O$8:$O$198)+SUMIF(竣!$BJ$26:$BJ$130,"产业"&amp;$B10,竣!$O$26:$O$130)</f>
        <v>0</v>
      </c>
      <c r="O10" s="402">
        <f t="shared" si="6"/>
        <v>0</v>
      </c>
      <c r="P10" s="376">
        <f>COUNTIF(开!$BN$8:$BN$213,"基础设施"&amp;$B10)+COUNTIF('续 '!$BI$8:$BI$198,"基础设施"&amp;$B10)+COUNTIF(竣!$BJ$26:$BJ$130,"基础设施"&amp;$B10)</f>
        <v>24</v>
      </c>
      <c r="Q10" s="376">
        <f>SUMIF(开!$BN$8:$BN$213,"基础设施"&amp;$B10,开!$F$8:$F$213)+SUMIF('续 '!$BI$8:$BI$198,"基础设施"&amp;$B10,'续 '!$F$8:$F$198)+SUMIF(竣!$BJ$26:$BJ$130,"基础设施"&amp;$B10,竣!$F$26:$F$130)</f>
        <v>477697</v>
      </c>
      <c r="R10" s="376">
        <f>SUMIF('续 '!$BI$8:$BI$198,"基础设施"&amp;$B10,'续 '!$G$8:$G$198)+SUMIF(竣!$BJ$26:$BJ$130,"基础设施"&amp;$B10,竣!$G$26:$G$130)</f>
        <v>98636</v>
      </c>
      <c r="S10" s="376">
        <f>SUMIF(开!$BN$8:$BN$213,"基础设施"&amp;$B10,开!$L$8:$L$213)+SUMIF('续 '!$BI$8:$BI$198,"基础设施"&amp;$B10,'续 '!$L$8:$L$198)+SUMIF(竣!$BJ$26:$BJ$130,"基础设施"&amp;$B10,竣!$L$26:$L$130)</f>
        <v>97218</v>
      </c>
      <c r="T10" s="403">
        <f t="shared" si="3"/>
        <v>0.44643537758593</v>
      </c>
      <c r="U10" s="376">
        <f>SUMIF(开!$BN$8:$BN$213,"基础设施"&amp;$B10,开!$P$8:$P$213)+SUMIF('续 '!$BI$8:$BI$198,"基础设施"&amp;$B10,'续 '!$O$8:$O$198)+SUMIF(竣!$BJ$26:$BJ$130,"基础设施"&amp;$B10,竣!$O$26:$O$130)</f>
        <v>0</v>
      </c>
      <c r="V10" s="402">
        <f t="shared" si="7"/>
        <v>0</v>
      </c>
      <c r="W10" s="376">
        <f>COUNTIF(开!$BN$8:$BN$213,"民生设施"&amp;$B10)+COUNTIF('续 '!$BI$8:$BI$198,"民生设施"&amp;$B10)+COUNTIF(竣!$BJ$26:$BJ$130,"民生设施"&amp;$B10)</f>
        <v>4</v>
      </c>
      <c r="X10" s="376">
        <f>SUMIF(开!$BN$8:$BN$213,"民生设施"&amp;$B10,开!$F$8:$F$213)+SUMIF('续 '!$BI$8:$BI$198,"民生设施"&amp;$B10,'续 '!$F$8:$F$198)+SUMIF(竣!$BJ$26:$BJ$130,"民生设施"&amp;$B10,竣!$F$26:$F$130)</f>
        <v>45525</v>
      </c>
      <c r="Y10" s="376">
        <f>SUMIF('续 '!$BI$8:$BI$198,"民生设施"&amp;$B10,'续 '!$G$8:$G$198)+SUMIF(竣!$BJ$26:$BJ$130,"民生设施"&amp;$B10,竣!$G$26:$G$130)</f>
        <v>15700</v>
      </c>
      <c r="Z10" s="376">
        <f>SUMIF(开!$BN$8:$BN$213,"民生设施"&amp;$B10,开!$L$8:$L$213)+SUMIF('续 '!$BI$8:$BI$198,"民生设施"&amp;$B10,'续 '!$L$8:$L$198)+SUMIF(竣!$BJ$26:$BJ$130,"民生设施"&amp;$B10,竣!$L$26:$L$130)</f>
        <v>15047</v>
      </c>
      <c r="AA10" s="403">
        <f t="shared" si="4"/>
        <v>0.0690974215323858</v>
      </c>
      <c r="AB10" s="376">
        <f>SUMIF(开!$BN$8:$BN$213,"民生设施"&amp;$B10,开!$P$8:$P$213)+SUMIF('续 '!$BI$8:$BI$198,"民生设施"&amp;$B10,'续 '!$O$8:$O$198)+SUMIF(竣!$BJ$26:$BJ$130,"民生设施"&amp;$B10,竣!$O$26:$O$130)</f>
        <v>0</v>
      </c>
      <c r="AC10" s="402">
        <f t="shared" si="8"/>
        <v>0</v>
      </c>
    </row>
    <row r="11" s="334" customFormat="1" ht="30" customHeight="1" spans="1:29">
      <c r="A11" s="374">
        <v>3</v>
      </c>
      <c r="B11" s="375" t="s">
        <v>359</v>
      </c>
      <c r="C11" s="376">
        <f t="shared" si="9"/>
        <v>43</v>
      </c>
      <c r="D11" s="384">
        <f t="shared" si="9"/>
        <v>1065185.02</v>
      </c>
      <c r="E11" s="384">
        <f t="shared" si="9"/>
        <v>268144</v>
      </c>
      <c r="F11" s="384">
        <f t="shared" si="9"/>
        <v>159868.8</v>
      </c>
      <c r="G11" s="385">
        <f t="shared" si="10"/>
        <v>0</v>
      </c>
      <c r="H11" s="371">
        <f t="shared" si="1"/>
        <v>0</v>
      </c>
      <c r="I11" s="376">
        <f>COUNTIF(开!$BN$8:$BN$213,"产业"&amp;$B11)+COUNTIF('续 '!$BI$8:$BI$198,"产业"&amp;$B11)+COUNTIF(竣!$BJ$26:$BJ$130,"产业"&amp;$B11)</f>
        <v>23</v>
      </c>
      <c r="J11" s="376">
        <f>SUMIF(开!$BN$8:$BN$213,"产业"&amp;$B11,开!$F$8:$F$213)+SUMIF('续 '!$BI$8:$BI$198,"产业"&amp;$B11,'续 '!$F$8:$F$198)+SUMIF(竣!$BJ$26:$BJ$130,"产业"&amp;$B11,竣!$F$26:$F$130)</f>
        <v>930478.22</v>
      </c>
      <c r="K11" s="376">
        <f>SUMIF('续 '!$BI$8:$BI$198,"产业"&amp;$B11,'续 '!$G$8:$G$198)+SUMIF(竣!$BJ$26:$BJ$130,"产业"&amp;$B11,竣!$G$26:$G$130)</f>
        <v>226604</v>
      </c>
      <c r="L11" s="376">
        <f>SUMIF(开!$BN$8:$BN$213,"产业"&amp;$B11,开!$L$8:$L$213)+SUMIF('续 '!$BI$8:$BI$198,"产业"&amp;$B11,'续 '!$L$8:$L$198)+SUMIF(竣!$BJ$26:$BJ$130,"产业"&amp;$B11,竣!$L$26:$L$130)</f>
        <v>119765</v>
      </c>
      <c r="M11" s="403">
        <f t="shared" si="2"/>
        <v>0.749145549350467</v>
      </c>
      <c r="N11" s="376">
        <f>SUMIF(开!$BN$8:$BN$213,"产业"&amp;$B11,开!$P$8:$P$213)+SUMIF('续 '!$BI$8:$BI$198,"产业"&amp;$B11,'续 '!$O$8:$O$198)+SUMIF(竣!$BJ$26:$BJ$130,"产业"&amp;$B11,竣!$O$26:$O$130)</f>
        <v>0</v>
      </c>
      <c r="O11" s="402">
        <f t="shared" si="6"/>
        <v>0</v>
      </c>
      <c r="P11" s="376">
        <f>COUNTIF(开!$BN$8:$BN$213,"基础设施"&amp;$B11)+COUNTIF('续 '!$BI$8:$BI$198,"基础设施"&amp;$B11)+COUNTIF(竣!$BJ$26:$BJ$130,"基础设施"&amp;$B11)</f>
        <v>15</v>
      </c>
      <c r="Q11" s="376">
        <f>SUMIF(开!$BN$8:$BN$213,"基础设施"&amp;$B11,开!$F$8:$F$213)+SUMIF('续 '!$BI$8:$BI$198,"基础设施"&amp;$B11,'续 '!$F$8:$F$198)+SUMIF(竣!$BJ$26:$BJ$130,"基础设施"&amp;$B11,竣!$F$26:$F$130)</f>
        <v>102407.8</v>
      </c>
      <c r="R11" s="376">
        <f>SUMIF('续 '!$BI$8:$BI$198,"基础设施"&amp;$B11,'续 '!$G$8:$G$198)+SUMIF(竣!$BJ$26:$BJ$130,"基础设施"&amp;$B11,竣!$G$26:$G$130)</f>
        <v>32088</v>
      </c>
      <c r="S11" s="376">
        <f>SUMIF(开!$BN$8:$BN$213,"基础设施"&amp;$B11,开!$L$8:$L$213)+SUMIF('续 '!$BI$8:$BI$198,"基础设施"&amp;$B11,'续 '!$L$8:$L$198)+SUMIF(竣!$BJ$26:$BJ$130,"基础设施"&amp;$B11,竣!$L$26:$L$130)</f>
        <v>32603.8</v>
      </c>
      <c r="T11" s="403">
        <f t="shared" si="3"/>
        <v>0.203940981604916</v>
      </c>
      <c r="U11" s="376">
        <f>SUMIF(开!$BN$8:$BN$213,"基础设施"&amp;$B11,开!$P$8:$P$213)+SUMIF('续 '!$BI$8:$BI$198,"基础设施"&amp;$B11,'续 '!$O$8:$O$198)+SUMIF(竣!$BJ$26:$BJ$130,"基础设施"&amp;$B11,竣!$O$26:$O$130)</f>
        <v>0</v>
      </c>
      <c r="V11" s="402">
        <f t="shared" si="7"/>
        <v>0</v>
      </c>
      <c r="W11" s="376">
        <f>COUNTIF(开!$BN$8:$BN$213,"民生设施"&amp;$B11)+COUNTIF('续 '!$BI$8:$BI$198,"民生设施"&amp;$B11)+COUNTIF(竣!$BJ$26:$BJ$130,"民生设施"&amp;$B11)</f>
        <v>5</v>
      </c>
      <c r="X11" s="376">
        <f>SUMIF(开!$BN$8:$BN$213,"民生设施"&amp;$B11,开!$F$8:$F$213)+SUMIF('续 '!$BI$8:$BI$198,"民生设施"&amp;$B11,'续 '!$F$8:$F$198)+SUMIF(竣!$BJ$26:$BJ$130,"民生设施"&amp;$B11,竣!$F$26:$F$130)</f>
        <v>32299</v>
      </c>
      <c r="Y11" s="376">
        <f>SUMIF('续 '!$BI$8:$BI$198,"民生设施"&amp;$B11,'续 '!$G$8:$G$198)+SUMIF(竣!$BJ$26:$BJ$130,"民生设施"&amp;$B11,竣!$G$26:$G$130)</f>
        <v>9452</v>
      </c>
      <c r="Z11" s="376">
        <f>SUMIF(开!$BN$8:$BN$213,"民生设施"&amp;$B11,开!$L$8:$L$213)+SUMIF('续 '!$BI$8:$BI$198,"民生设施"&amp;$B11,'续 '!$L$8:$L$198)+SUMIF(竣!$BJ$26:$BJ$130,"民生设施"&amp;$B11,竣!$L$26:$L$130)</f>
        <v>7500</v>
      </c>
      <c r="AA11" s="403">
        <f t="shared" si="4"/>
        <v>0.0469134690446166</v>
      </c>
      <c r="AB11" s="376">
        <f>SUMIF(开!$BN$8:$BN$213,"民生设施"&amp;$B11,开!$P$8:$P$213)+SUMIF('续 '!$BI$8:$BI$198,"民生设施"&amp;$B11,'续 '!$O$8:$O$198)+SUMIF(竣!$BJ$26:$BJ$130,"民生设施"&amp;$B11,竣!$O$26:$O$130)</f>
        <v>0</v>
      </c>
      <c r="AC11" s="402">
        <f t="shared" si="8"/>
        <v>0</v>
      </c>
    </row>
    <row r="12" s="334" customFormat="1" ht="30" customHeight="1" spans="1:29">
      <c r="A12" s="374">
        <v>4</v>
      </c>
      <c r="B12" s="375" t="s">
        <v>375</v>
      </c>
      <c r="C12" s="376">
        <f t="shared" si="9"/>
        <v>58</v>
      </c>
      <c r="D12" s="384">
        <f t="shared" si="9"/>
        <v>1628117.99</v>
      </c>
      <c r="E12" s="384">
        <f t="shared" si="9"/>
        <v>213047</v>
      </c>
      <c r="F12" s="384">
        <f t="shared" si="9"/>
        <v>288894</v>
      </c>
      <c r="G12" s="385">
        <f t="shared" si="10"/>
        <v>0</v>
      </c>
      <c r="H12" s="371">
        <f t="shared" si="1"/>
        <v>0</v>
      </c>
      <c r="I12" s="376">
        <f>COUNTIF(开!$BN$8:$BN$213,"产业"&amp;$B12)+COUNTIF('续 '!$BI$8:$BI$198,"产业"&amp;$B12)+COUNTIF(竣!$BJ$26:$BJ$130,"产业"&amp;$B12)</f>
        <v>22</v>
      </c>
      <c r="J12" s="376">
        <f>SUMIF(开!$BN$8:$BN$213,"产业"&amp;$B12,开!$F$8:$F$213)+SUMIF('续 '!$BI$8:$BI$198,"产业"&amp;$B12,'续 '!$F$8:$F$198)+SUMIF(竣!$BJ$26:$BJ$130,"产业"&amp;$B12,竣!$F$26:$F$130)</f>
        <v>657375</v>
      </c>
      <c r="K12" s="376">
        <f>SUMIF('续 '!$BI$8:$BI$198,"产业"&amp;$B12,'续 '!$G$8:$G$198)+SUMIF(竣!$BJ$26:$BJ$130,"产业"&amp;$B12,竣!$G$26:$G$130)</f>
        <v>74889</v>
      </c>
      <c r="L12" s="376">
        <f>SUMIF(开!$BN$8:$BN$213,"产业"&amp;$B12,开!$L$8:$L$213)+SUMIF('续 '!$BI$8:$BI$198,"产业"&amp;$B12,'续 '!$L$8:$L$198)+SUMIF(竣!$BJ$26:$BJ$130,"产业"&amp;$B12,竣!$L$26:$L$130)</f>
        <v>132578</v>
      </c>
      <c r="M12" s="403">
        <f t="shared" si="2"/>
        <v>0.458915726875601</v>
      </c>
      <c r="N12" s="376">
        <f>SUMIF(开!$BN$8:$BN$213,"产业"&amp;$B12,开!$P$8:$P$213)+SUMIF('续 '!$BI$8:$BI$198,"产业"&amp;$B12,'续 '!$O$8:$O$198)+SUMIF(竣!$BJ$26:$BJ$130,"产业"&amp;$B12,竣!$O$26:$O$130)</f>
        <v>0</v>
      </c>
      <c r="O12" s="402">
        <f t="shared" si="6"/>
        <v>0</v>
      </c>
      <c r="P12" s="376">
        <f>COUNTIF(开!$BN$8:$BN$213,"基础设施"&amp;$B12)+COUNTIF('续 '!$BI$8:$BI$198,"基础设施"&amp;$B12)+COUNTIF(竣!$BJ$26:$BJ$130,"基础设施"&amp;$B12)</f>
        <v>27</v>
      </c>
      <c r="Q12" s="376">
        <f>SUMIF(开!$BN$8:$BN$213,"基础设施"&amp;$B12,开!$F$8:$F$213)+SUMIF('续 '!$BI$8:$BI$198,"基础设施"&amp;$B12,'续 '!$F$8:$F$198)+SUMIF(竣!$BJ$26:$BJ$130,"基础设施"&amp;$B12,竣!$F$26:$F$130)</f>
        <v>794986.62</v>
      </c>
      <c r="R12" s="376">
        <f>SUMIF('续 '!$BI$8:$BI$198,"基础设施"&amp;$B12,'续 '!$G$8:$G$198)+SUMIF(竣!$BJ$26:$BJ$130,"基础设施"&amp;$B12,竣!$G$26:$G$130)</f>
        <v>75894</v>
      </c>
      <c r="S12" s="376">
        <f>SUMIF(开!$BN$8:$BN$213,"基础设施"&amp;$B12,开!$L$8:$L$213)+SUMIF('续 '!$BI$8:$BI$198,"基础设施"&amp;$B12,'续 '!$L$8:$L$198)+SUMIF(竣!$BJ$26:$BJ$130,"基础设施"&amp;$B12,竣!$L$26:$L$130)</f>
        <v>92455</v>
      </c>
      <c r="T12" s="403">
        <f t="shared" si="3"/>
        <v>0.320030876376803</v>
      </c>
      <c r="U12" s="376">
        <f>SUMIF(开!$BN$8:$BN$213,"基础设施"&amp;$B12,开!$P$8:$P$213)+SUMIF('续 '!$BI$8:$BI$198,"基础设施"&amp;$B12,'续 '!$O$8:$O$198)+SUMIF(竣!$BJ$26:$BJ$130,"基础设施"&amp;$B12,竣!$O$26:$O$130)</f>
        <v>0</v>
      </c>
      <c r="V12" s="402">
        <f t="shared" si="7"/>
        <v>0</v>
      </c>
      <c r="W12" s="376">
        <f>COUNTIF(开!$BN$8:$BN$213,"民生设施"&amp;$B12)+COUNTIF('续 '!$BI$8:$BI$198,"民生设施"&amp;$B12)+COUNTIF(竣!$BJ$26:$BJ$130,"民生设施"&amp;$B12)</f>
        <v>9</v>
      </c>
      <c r="X12" s="376">
        <f>SUMIF(开!$BN$8:$BN$213,"民生设施"&amp;$B12,开!$F$8:$F$213)+SUMIF('续 '!$BI$8:$BI$198,"民生设施"&amp;$B12,'续 '!$F$8:$F$198)+SUMIF(竣!$BJ$26:$BJ$130,"民生设施"&amp;$B12,竣!$F$26:$F$130)</f>
        <v>175756.37</v>
      </c>
      <c r="Y12" s="376">
        <f>SUMIF('续 '!$BI$8:$BI$198,"民生设施"&amp;$B12,'续 '!$G$8:$G$198)+SUMIF(竣!$BJ$26:$BJ$130,"民生设施"&amp;$B12,竣!$G$26:$G$130)</f>
        <v>62264</v>
      </c>
      <c r="Z12" s="376">
        <f>SUMIF(开!$BN$8:$BN$213,"民生设施"&amp;$B12,开!$L$8:$L$213)+SUMIF('续 '!$BI$8:$BI$198,"民生设施"&amp;$B12,'续 '!$L$8:$L$198)+SUMIF(竣!$BJ$26:$BJ$130,"民生设施"&amp;$B12,竣!$L$26:$L$130)</f>
        <v>63861</v>
      </c>
      <c r="AA12" s="403">
        <f t="shared" si="4"/>
        <v>0.221053396747596</v>
      </c>
      <c r="AB12" s="376">
        <f>SUMIF(开!$BN$8:$BN$213,"民生设施"&amp;$B12,开!$P$8:$P$213)+SUMIF('续 '!$BI$8:$BI$198,"民生设施"&amp;$B12,'续 '!$O$8:$O$198)+SUMIF(竣!$BJ$26:$BJ$130,"民生设施"&amp;$B12,竣!$O$26:$O$130)</f>
        <v>0</v>
      </c>
      <c r="AC12" s="402">
        <f t="shared" si="8"/>
        <v>0</v>
      </c>
    </row>
    <row r="13" s="334" customFormat="1" ht="30" customHeight="1" spans="1:29">
      <c r="A13" s="374">
        <v>5</v>
      </c>
      <c r="B13" s="375" t="s">
        <v>119</v>
      </c>
      <c r="C13" s="376">
        <f t="shared" si="9"/>
        <v>25</v>
      </c>
      <c r="D13" s="384">
        <f t="shared" si="9"/>
        <v>3300874.086</v>
      </c>
      <c r="E13" s="384">
        <f t="shared" si="9"/>
        <v>365582</v>
      </c>
      <c r="F13" s="384">
        <f t="shared" si="9"/>
        <v>444408.086</v>
      </c>
      <c r="G13" s="385">
        <f t="shared" si="10"/>
        <v>0</v>
      </c>
      <c r="H13" s="371">
        <f t="shared" si="1"/>
        <v>0</v>
      </c>
      <c r="I13" s="376">
        <f>COUNTIF(开!$BN$8:$BN$213,"产业"&amp;$B13)+COUNTIF('续 '!$BI$8:$BI$198,"产业"&amp;$B13)+COUNTIF(竣!$BJ$9:$BJ$130,"产业"&amp;$B13)</f>
        <v>12</v>
      </c>
      <c r="J13" s="376">
        <f>SUMIF(开!$BN$8:$BN$213,"产业"&amp;$B13,开!$F$8:$F$213)+SUMIF('续 '!$BI$8:$BI$198,"产业"&amp;$B13,'续 '!$F$8:$F$198)+SUMIF(竣!$BJ$9:$BJ$130,"产业"&amp;$B13,竣!$F$9:$F$130)</f>
        <v>2678744</v>
      </c>
      <c r="K13" s="376">
        <f>SUMIF('续 '!$BI$8:$BI$198,"产业"&amp;$B13,'续 '!$G$8:$G$198)+SUMIF(竣!$BJ$9:$BJ$130,"产业"&amp;$B13,竣!$G$9:$G$130)</f>
        <v>182118</v>
      </c>
      <c r="L13" s="376">
        <f>SUMIF(开!$BN$8:$BN$213,"产业"&amp;$B13,开!$L$8:$L$213)+SUMIF('续 '!$BI$8:$BI$198,"产业"&amp;$B13,'续 '!$L$8:$L$198)+SUMIF(竣!$BJ$9:$BJ$130,"产业"&amp;$B13,竣!$L$9:$L$130)</f>
        <v>355089</v>
      </c>
      <c r="M13" s="403">
        <f t="shared" si="2"/>
        <v>0.799015614670882</v>
      </c>
      <c r="N13" s="376">
        <f>SUMIF(开!$BN$8:$BN$213,"产业"&amp;$B13,开!$P$8:$P$213)+SUMIF('续 '!$BI$8:$BI$198,"产业"&amp;$B13,'续 '!$O$8:$O$198)+SUMIF(竣!$BJ$9:$BJ$130,"产业"&amp;$B13,竣!$O$9:$O$130)</f>
        <v>0</v>
      </c>
      <c r="O13" s="402">
        <f t="shared" si="6"/>
        <v>0</v>
      </c>
      <c r="P13" s="376">
        <f>COUNTIF(开!$BN$8:$BN$213,"基础设施"&amp;$B13)+COUNTIF('续 '!$BI$8:$BI$198,"基础设施"&amp;$B13)+COUNTIF(竣!$BJ$9:$BJ$130,"基础设施"&amp;$B13)</f>
        <v>13</v>
      </c>
      <c r="Q13" s="376">
        <f>SUMIF(开!$BN$8:$BN$213,"基础设施"&amp;$B13,开!$F$8:$F$213)+SUMIF('续 '!$BI$8:$BI$198,"基础设施"&amp;$B13,'续 '!$F$8:$F$198)+SUMIF(竣!$BJ$9:$BJ$130,"基础设施"&amp;$B13,竣!$F$9:$F$130)</f>
        <v>622130.086</v>
      </c>
      <c r="R13" s="376">
        <f>SUMIF('续 '!$BI$8:$BI$198,"基础设施"&amp;$B13,'续 '!$G$8:$G$198)+SUMIF(竣!$BJ$9:$BJ$130,"基础设施"&amp;$B13,竣!$G$9:$G$130)</f>
        <v>183464</v>
      </c>
      <c r="S13" s="376">
        <f>SUMIF(开!$BN$8:$BN$213,"基础设施"&amp;$B13,开!$L$8:$L$213)+SUMIF('续 '!$BI$8:$BI$198,"基础设施"&amp;$B13,'续 '!$L$8:$L$198)+SUMIF(竣!$BJ$9:$BJ$130,"基础设施"&amp;$B13,竣!$L$9:$L$130)</f>
        <v>89319.086</v>
      </c>
      <c r="T13" s="403">
        <f t="shared" si="3"/>
        <v>0.200984385329118</v>
      </c>
      <c r="U13" s="376">
        <f>SUMIF(开!$BN$8:$BN$213,"基础设施"&amp;$B13,开!$P$8:$P$213)+SUMIF('续 '!$BI$8:$BI$198,"基础设施"&amp;$B13,'续 '!$O$8:$O$198)+SUMIF(竣!$BJ$9:$BJ$130,"基础设施"&amp;$B13,竣!$O$9:$O$130)</f>
        <v>0</v>
      </c>
      <c r="V13" s="402">
        <f t="shared" si="7"/>
        <v>0</v>
      </c>
      <c r="W13" s="376">
        <f>COUNTIF(开!$BN$8:$BN$213,"民生设施"&amp;$B13)+COUNTIF('续 '!$BI$8:$BI$198,"民生设施"&amp;$B13)+COUNTIF(竣!$BJ$9:$BJ$130,"民生设施"&amp;$B13)</f>
        <v>0</v>
      </c>
      <c r="X13" s="376">
        <f>SUMIF(开!$BN$8:$BN$213,"民生设施"&amp;$B13,开!$F$8:$F$213)+SUMIF('续 '!$BI$8:$BI$198,"民生设施"&amp;$B13,'续 '!$F$8:$F$198)+SUMIF(竣!$BJ$9:$BJ$130,"民生设施"&amp;$B13,竣!$F$9:$F$130)</f>
        <v>0</v>
      </c>
      <c r="Y13" s="376">
        <f>SUMIF('续 '!$BI$8:$BI$198,"民生设施"&amp;$B13,'续 '!$G$8:$G$198)+SUMIF(竣!$BJ$9:$BJ$130,"民生设施"&amp;$B13,竣!$G$9:$G$130)</f>
        <v>0</v>
      </c>
      <c r="Z13" s="376">
        <f>SUMIF(开!$BN$8:$BN$213,"民生设施"&amp;$B13,开!$L$8:$L$213)+SUMIF('续 '!$BI$8:$BI$198,"民生设施"&amp;$B13,'续 '!$L$8:$L$198)+SUMIF(竣!$BJ$9:$BJ$130,"民生设施"&amp;$B13,竣!$L$9:$L$130)</f>
        <v>0</v>
      </c>
      <c r="AA13" s="403">
        <f t="shared" si="4"/>
        <v>0</v>
      </c>
      <c r="AB13" s="376">
        <f>SUMIF(开!$BN$8:$BN$213,"民生设施"&amp;$B13,开!$P$8:$P$213)+SUMIF('续 '!$BI$8:$BI$198,"民生设施"&amp;$B13,'续 '!$O$8:$O$198)+SUMIF(竣!$BJ$9:$BJ$130,"民生设施"&amp;$B13,竣!$O$9:$O$130)</f>
        <v>0</v>
      </c>
      <c r="AC13" s="402" t="e">
        <f t="shared" si="8"/>
        <v>#DIV/0!</v>
      </c>
    </row>
    <row r="14" s="334" customFormat="1" ht="30" customHeight="1" spans="1:29">
      <c r="A14" s="374"/>
      <c r="B14" s="375" t="s">
        <v>2750</v>
      </c>
      <c r="C14" s="376">
        <f>C13+C23+C24+C29+C30+C25</f>
        <v>28</v>
      </c>
      <c r="D14" s="376">
        <f t="shared" ref="D14:Z14" si="11">D13+D23+D24+D29+D30+D25</f>
        <v>3406539.086</v>
      </c>
      <c r="E14" s="376">
        <f t="shared" si="11"/>
        <v>382587</v>
      </c>
      <c r="F14" s="376">
        <f t="shared" si="11"/>
        <v>499768.086</v>
      </c>
      <c r="G14" s="376">
        <f t="shared" si="11"/>
        <v>0</v>
      </c>
      <c r="H14" s="376" t="e">
        <f t="shared" si="11"/>
        <v>#DIV/0!</v>
      </c>
      <c r="I14" s="376">
        <f t="shared" si="11"/>
        <v>12</v>
      </c>
      <c r="J14" s="376">
        <f t="shared" si="11"/>
        <v>2678744</v>
      </c>
      <c r="K14" s="376">
        <f t="shared" si="11"/>
        <v>182118</v>
      </c>
      <c r="L14" s="376">
        <f t="shared" si="11"/>
        <v>355089</v>
      </c>
      <c r="M14" s="403">
        <f t="shared" si="2"/>
        <v>0.710507553297431</v>
      </c>
      <c r="N14" s="376">
        <f t="shared" si="11"/>
        <v>0</v>
      </c>
      <c r="O14" s="376" t="e">
        <f t="shared" si="11"/>
        <v>#DIV/0!</v>
      </c>
      <c r="P14" s="376">
        <f t="shared" si="11"/>
        <v>16</v>
      </c>
      <c r="Q14" s="376">
        <f t="shared" si="11"/>
        <v>727795.086</v>
      </c>
      <c r="R14" s="376">
        <f t="shared" si="11"/>
        <v>200469</v>
      </c>
      <c r="S14" s="376">
        <f t="shared" si="11"/>
        <v>144679.086</v>
      </c>
      <c r="T14" s="403">
        <f t="shared" si="3"/>
        <v>0.289492446702569</v>
      </c>
      <c r="U14" s="376">
        <f t="shared" si="11"/>
        <v>0</v>
      </c>
      <c r="V14" s="376" t="e">
        <f t="shared" si="11"/>
        <v>#DIV/0!</v>
      </c>
      <c r="W14" s="376">
        <f t="shared" si="11"/>
        <v>0</v>
      </c>
      <c r="X14" s="376">
        <f t="shared" si="11"/>
        <v>0</v>
      </c>
      <c r="Y14" s="376">
        <f t="shared" si="11"/>
        <v>0</v>
      </c>
      <c r="Z14" s="376">
        <f t="shared" si="11"/>
        <v>0</v>
      </c>
      <c r="AA14" s="376"/>
      <c r="AB14" s="376">
        <f>AB13+AB23+AB24+AB29+AB30</f>
        <v>0</v>
      </c>
      <c r="AC14" s="402" t="e">
        <f t="shared" si="8"/>
        <v>#DIV/0!</v>
      </c>
    </row>
    <row r="15" s="334" customFormat="1" ht="30" customHeight="1" spans="1:29">
      <c r="A15" s="374">
        <v>6</v>
      </c>
      <c r="B15" s="375" t="s">
        <v>490</v>
      </c>
      <c r="C15" s="376">
        <f t="shared" ref="C15:F19" si="12">I15+P15+W15</f>
        <v>2</v>
      </c>
      <c r="D15" s="384">
        <f t="shared" si="12"/>
        <v>91894</v>
      </c>
      <c r="E15" s="384">
        <f t="shared" si="12"/>
        <v>0</v>
      </c>
      <c r="F15" s="384">
        <f t="shared" si="12"/>
        <v>12200</v>
      </c>
      <c r="G15" s="385">
        <f t="shared" ref="G15:G19" si="13">N15+U15+AB15</f>
        <v>0</v>
      </c>
      <c r="H15" s="371">
        <f t="shared" si="1"/>
        <v>0</v>
      </c>
      <c r="I15" s="376">
        <f>COUNTIF(开!$BN$8:$BN$213,"产业"&amp;$B15)+COUNTIF('续 '!$BI$8:$BI$198,"产业"&amp;$B15)+COUNTIF(竣!$BJ$26:$BJ$130,"产业"&amp;$B15)</f>
        <v>1</v>
      </c>
      <c r="J15" s="376">
        <f>SUMIF(开!$BN$8:$BN$213,"产业"&amp;$B15,开!$F$8:$F$213)+SUMIF('续 '!$BI$8:$BI$198,"产业"&amp;$B15,'续 '!$F$8:$F$198)+SUMIF(竣!$BJ$26:$BJ$130,"产业"&amp;$B15,竣!$F$26:$F$130)</f>
        <v>88000</v>
      </c>
      <c r="K15" s="376">
        <f>SUMIF('续 '!$BI$8:$BI$198,"产业"&amp;$B15,'续 '!$G$8:$G$198)+SUMIF(竣!$BJ$26:$BJ$130,"产业"&amp;$B15,竣!$G$26:$G$130)</f>
        <v>0</v>
      </c>
      <c r="L15" s="376">
        <f>SUMIF(开!$BN$8:$BN$213,"产业"&amp;$B15,开!$L$8:$L$213)+SUMIF('续 '!$BI$8:$BI$198,"产业"&amp;$B15,'续 '!$L$8:$L$198)+SUMIF(竣!$BJ$26:$BJ$130,"产业"&amp;$B15,竣!$L$26:$L$130)</f>
        <v>10000</v>
      </c>
      <c r="M15" s="403">
        <f t="shared" si="2"/>
        <v>0.819672131147541</v>
      </c>
      <c r="N15" s="376">
        <f>SUMIF(开!$BN$8:$BN$213,"产业"&amp;$B15,开!$P$8:$P$213)+SUMIF('续 '!$BI$8:$BI$198,"产业"&amp;$B15,'续 '!$O$8:$O$198)+SUMIF(竣!$BJ$26:$BJ$130,"产业"&amp;$B15,竣!$O$26:$O$130)</f>
        <v>0</v>
      </c>
      <c r="O15" s="402">
        <f t="shared" si="6"/>
        <v>0</v>
      </c>
      <c r="P15" s="376">
        <f>COUNTIF(开!$BN$8:$BN$213,"基础设施"&amp;$B15)+COUNTIF('续 '!$BI$8:$BI$198,"基础设施"&amp;$B15)+COUNTIF(竣!$BJ$26:$BJ$130,"基础设施"&amp;$B15)</f>
        <v>1</v>
      </c>
      <c r="Q15" s="376">
        <f>SUMIF(开!$BN$8:$BN$213,"基础设施"&amp;$B15,开!$F$8:$F$213)+SUMIF('续 '!$BI$8:$BI$198,"基础设施"&amp;$B15,'续 '!$F$8:$F$198)+SUMIF(竣!$BJ$26:$BJ$130,"基础设施"&amp;$B15,竣!$F$26:$F$130)</f>
        <v>3894</v>
      </c>
      <c r="R15" s="376">
        <f>SUMIF('续 '!$BI$8:$BI$198,"基础设施"&amp;$B15,'续 '!$G$8:$G$198)+SUMIF(竣!$BJ$26:$BJ$130,"基础设施"&amp;$B15,竣!$G$26:$G$130)</f>
        <v>0</v>
      </c>
      <c r="S15" s="376">
        <f>SUMIF(开!$BN$8:$BN$213,"基础设施"&amp;$B15,开!$L$8:$L$213)+SUMIF('续 '!$BI$8:$BI$198,"基础设施"&amp;$B15,'续 '!$L$8:$L$198)+SUMIF(竣!$BJ$26:$BJ$130,"基础设施"&amp;$B15,竣!$L$26:$L$130)</f>
        <v>2200</v>
      </c>
      <c r="T15" s="403">
        <f t="shared" si="3"/>
        <v>0.180327868852459</v>
      </c>
      <c r="U15" s="376">
        <f>SUMIF(开!$BN$8:$BN$213,"基础设施"&amp;$B15,开!$P$8:$P$213)+SUMIF('续 '!$BI$8:$BI$198,"基础设施"&amp;$B15,'续 '!$O$8:$O$198)+SUMIF(竣!$BJ$26:$BJ$130,"基础设施"&amp;$B15,竣!$O$26:$O$130)</f>
        <v>0</v>
      </c>
      <c r="V15" s="402">
        <f t="shared" si="7"/>
        <v>0</v>
      </c>
      <c r="W15" s="376">
        <f>COUNTIF(开!$BN$8:$BN$213,"民生设施"&amp;$B15)+COUNTIF('续 '!$BI$8:$BI$198,"民生设施"&amp;$B15)+COUNTIF(竣!$BJ$26:$BJ$130,"民生设施"&amp;$B15)</f>
        <v>0</v>
      </c>
      <c r="X15" s="376">
        <f>SUMIF(开!$BN$8:$BN$213,"民生设施"&amp;$B15,开!$F$8:$F$213)+SUMIF('续 '!$BI$8:$BI$198,"民生设施"&amp;$B15,'续 '!$F$8:$F$198)+SUMIF(竣!$BJ$26:$BJ$130,"民生设施"&amp;$B15,竣!$F$26:$F$130)</f>
        <v>0</v>
      </c>
      <c r="Y15" s="376">
        <f>SUMIF('续 '!$BI$8:$BI$198,"民生设施"&amp;$B15,'续 '!$G$8:$G$198)+SUMIF(竣!$BJ$26:$BJ$130,"民生设施"&amp;$B15,竣!$G$26:$G$130)</f>
        <v>0</v>
      </c>
      <c r="Z15" s="376">
        <f>SUMIF(开!$BN$8:$BN$213,"民生设施"&amp;$B15,开!$L$8:$L$213)+SUMIF('续 '!$BI$8:$BI$198,"民生设施"&amp;$B15,'续 '!$L$8:$L$198)+SUMIF(竣!$BJ$26:$BJ$130,"民生设施"&amp;$B15,竣!$L$26:$L$130)</f>
        <v>0</v>
      </c>
      <c r="AA15" s="403">
        <f t="shared" si="4"/>
        <v>0</v>
      </c>
      <c r="AB15" s="376">
        <f>SUMIF(开!$BN$8:$BN$213,"民生设施"&amp;$B15,开!$P$8:$P$213)+SUMIF('续 '!$BI$8:$BI$198,"民生设施"&amp;$B15,'续 '!$O$8:$O$198)+SUMIF(竣!$BJ$26:$BJ$130,"民生设施"&amp;$B15,竣!$O$26:$O$130)</f>
        <v>0</v>
      </c>
      <c r="AC15" s="402" t="e">
        <f t="shared" si="8"/>
        <v>#DIV/0!</v>
      </c>
    </row>
    <row r="16" s="334" customFormat="1" ht="30" customHeight="1" spans="1:29">
      <c r="A16" s="374">
        <v>7</v>
      </c>
      <c r="B16" s="378" t="s">
        <v>185</v>
      </c>
      <c r="C16" s="376">
        <f t="shared" si="12"/>
        <v>52</v>
      </c>
      <c r="D16" s="384">
        <f t="shared" si="12"/>
        <v>6395797</v>
      </c>
      <c r="E16" s="423">
        <f t="shared" si="12"/>
        <v>648426</v>
      </c>
      <c r="F16" s="384">
        <f t="shared" si="12"/>
        <v>673879</v>
      </c>
      <c r="G16" s="385">
        <f t="shared" si="13"/>
        <v>0</v>
      </c>
      <c r="H16" s="371">
        <f t="shared" si="1"/>
        <v>0</v>
      </c>
      <c r="I16" s="376">
        <f>COUNTIF(开!$BN$8:$BN$213,"产业"&amp;$B16)+COUNTIF('续 '!$BI$8:$BI$198,"产业"&amp;$B16)+COUNTIF(竣!$BJ$8:$BJ$130,"产业"&amp;$B16)</f>
        <v>25</v>
      </c>
      <c r="J16" s="376">
        <f>SUMIF(开!$BN$8:$BN$213,"产业"&amp;$B16,开!$F$8:$F$213)+SUMIF('续 '!$BI$8:$BI$198,"产业"&amp;$B16,'续 '!$F$8:$F$198)+SUMIF(竣!$BJ$8:$BJ$130,"产业"&amp;$B16,竣!$F$8:$F$130)</f>
        <v>3890211</v>
      </c>
      <c r="K16" s="376">
        <f>SUMIF('续 '!$BI$8:$BI$198,"产业"&amp;$B16,'续 '!$G$8:$G$198)+SUMIF(竣!$BJ$8:$BJ$130,"产业"&amp;$B16,竣!$G$8:$G$130)</f>
        <v>332520</v>
      </c>
      <c r="L16" s="376">
        <f>SUMIF(开!$BN$8:$BN$213,"产业"&amp;$B16,开!$L$8:$L$213)+SUMIF('续 '!$BI$8:$BI$198,"产业"&amp;$B16,'续 '!$L$8:$L$198)+SUMIF(竣!$BJ$8:$BJ$130,"产业"&amp;$B16,竣!$L$8:$L$130)</f>
        <v>451870</v>
      </c>
      <c r="M16" s="403">
        <f t="shared" si="2"/>
        <v>0.670550647816596</v>
      </c>
      <c r="N16" s="376">
        <f>SUMIF(开!$BN$8:$BN$213,"产业"&amp;$B16,开!$P$8:$P$213)+SUMIF('续 '!$BI$8:$BI$198,"产业"&amp;$B16,'续 '!$O$8:$O$198)+SUMIF(竣!$BJ$8:$BJ$130,"产业"&amp;$B16,竣!$O$8:$O$130)</f>
        <v>0</v>
      </c>
      <c r="O16" s="402">
        <f t="shared" si="6"/>
        <v>0</v>
      </c>
      <c r="P16" s="376">
        <f>COUNTIF(开!$BN$8:$BN$213,"基础设施"&amp;$B16)+COUNTIF('续 '!$BI$8:$BI$198,"基础设施"&amp;$B16)+COUNTIF(竣!$BJ$8:$BJ$130,"基础设施"&amp;$B16)</f>
        <v>27</v>
      </c>
      <c r="Q16" s="376">
        <f>SUMIF(开!$BN$8:$BN$213,"基础设施"&amp;$B16,开!$F$8:$F$213)+SUMIF('续 '!$BI$8:$BI$198,"基础设施"&amp;$B16,'续 '!$F$8:$F$198)+SUMIF(竣!$BJ$26:$BJ$130,"基础设施"&amp;$B16,竣!$F$26:$F$130)</f>
        <v>2505586</v>
      </c>
      <c r="R16" s="376">
        <f>SUMIF('续 '!$BI$8:$BI$198,"基础设施"&amp;$B16,'续 '!$G$8:$G$198)+SUMIF(竣!$BJ$26:$BJ$130,"基础设施"&amp;$B16,竣!$G$26:$G$130)</f>
        <v>315906</v>
      </c>
      <c r="S16" s="376">
        <f>SUMIF(开!$BN$8:$BN$213,"基础设施"&amp;$B16,开!$L$8:$L$213)+SUMIF('续 '!$BI$8:$BI$198,"基础设施"&amp;$B16,'续 '!$L$8:$L$198)+SUMIF(竣!$BJ$26:$BJ$130,"基础设施"&amp;$B16,竣!$L$26:$L$130)</f>
        <v>222009</v>
      </c>
      <c r="T16" s="403">
        <f t="shared" si="3"/>
        <v>0.329449352183404</v>
      </c>
      <c r="U16" s="376">
        <f>SUMIF(开!$BN$8:$BN$213,"基础设施"&amp;$B16,开!$P$8:$P$213)+SUMIF('续 '!$BI$8:$BI$198,"基础设施"&amp;$B16,'续 '!$O$8:$O$198)+SUMIF(竣!$BJ$8:$BJ$130,"基础设施"&amp;$B16,竣!$O$8:$O$130)</f>
        <v>0</v>
      </c>
      <c r="V16" s="402">
        <f t="shared" si="7"/>
        <v>0</v>
      </c>
      <c r="W16" s="376">
        <f>COUNTIF(开!$BN$8:$BN$213,"民生设施"&amp;$B16)+COUNTIF('续 '!$BI$8:$BI$198,"民生设施"&amp;$B16)+COUNTIF(竣!$BJ$8:$BJ$130,"民生设施"&amp;$B16)</f>
        <v>0</v>
      </c>
      <c r="X16" s="376">
        <f>SUMIF(开!$BN$8:$BN$213,"民生设施"&amp;$B16,开!$F$8:$F$213)+SUMIF('续 '!$BI$8:$BI$198,"民生设施"&amp;$B16,'续 '!$F$8:$F$198)+SUMIF(竣!$BJ$8:$BJ$130,"民生设施"&amp;$B16,竣!$F$8:$F$130)</f>
        <v>0</v>
      </c>
      <c r="Y16" s="376">
        <f>SUMIF('续 '!$BI$8:$BI$198,"民生设施"&amp;$B16,'续 '!$G$8:$G$198)+SUMIF(竣!$BJ$8:$BJ$130,"民生设施"&amp;$B16,竣!$G$8:$G$130)</f>
        <v>0</v>
      </c>
      <c r="Z16" s="376">
        <f>SUMIF(开!$BN$8:$BN$213,"民生设施"&amp;$B16,开!$L$8:$L$213)+SUMIF('续 '!$BI$8:$BI$198,"民生设施"&amp;$B16,'续 '!$L$8:$L$198)+SUMIF(竣!$BJ$8:$BJ$130,"民生设施"&amp;$B16,竣!$L$8:$L$130)</f>
        <v>0</v>
      </c>
      <c r="AA16" s="403">
        <f t="shared" si="4"/>
        <v>0</v>
      </c>
      <c r="AB16" s="376">
        <f>SUMIF(开!$BN$8:$BN$213,"民生设施"&amp;$B16,开!$P$8:$P$213)+SUMIF('续 '!$BI$8:$BI$198,"民生设施"&amp;$B16,'续 '!$O$8:$O$198)+SUMIF(竣!$BJ$8:$BJ$130,"民生设施"&amp;$B16,竣!$O$8:$O$130)</f>
        <v>0</v>
      </c>
      <c r="AC16" s="402" t="e">
        <f t="shared" si="8"/>
        <v>#DIV/0!</v>
      </c>
    </row>
    <row r="17" s="334" customFormat="1" ht="30" customHeight="1" spans="1:29">
      <c r="A17" s="374">
        <v>8</v>
      </c>
      <c r="B17" s="378" t="s">
        <v>166</v>
      </c>
      <c r="C17" s="376">
        <f t="shared" si="12"/>
        <v>17</v>
      </c>
      <c r="D17" s="384">
        <f t="shared" si="12"/>
        <v>275255</v>
      </c>
      <c r="E17" s="384">
        <f>K17+R17+Y17</f>
        <v>26924</v>
      </c>
      <c r="F17" s="384">
        <f t="shared" si="12"/>
        <v>60127</v>
      </c>
      <c r="G17" s="385">
        <f t="shared" si="13"/>
        <v>0</v>
      </c>
      <c r="H17" s="371">
        <f t="shared" si="1"/>
        <v>0</v>
      </c>
      <c r="I17" s="376">
        <f>COUNTIF(开!$BN$8:$BN$213,"产业"&amp;$B17)+COUNTIF('续 '!$BI$8:$BI$198,"产业"&amp;$B17)+COUNTIF(竣!$BJ$9:$BJ$130,"产业"&amp;$B17)</f>
        <v>12</v>
      </c>
      <c r="J17" s="376">
        <f>SUMIF(开!$BN$8:$BN$213,"产业"&amp;$B17,开!$F$8:$F$213)+SUMIF('续 '!$BI$8:$BI$198,"产业"&amp;$B17,'续 '!$F$8:$F$198)+SUMIF(竣!$BJ$9:$BJ$130,"产业"&amp;$B17,竣!$F$9:$F$130)</f>
        <v>119513</v>
      </c>
      <c r="K17" s="376">
        <f>SUMIF('续 '!$BI$8:$BI$198,"产业"&amp;$B17,'续 '!$G$8:$G$198)+SUMIF(竣!$BJ$9:$BJ$130,"产业"&amp;$B17,竣!$G$9:$G$130)</f>
        <v>24324</v>
      </c>
      <c r="L17" s="376">
        <f>SUMIF(开!$BN$8:$BN$213,"产业"&amp;$B17,开!$L$8:$L$213)+SUMIF('续 '!$BI$8:$BI$198,"产业"&amp;$B17,'续 '!$L$8:$L$198)+SUMIF(竣!$BJ$9:$BJ$130,"产业"&amp;$B17,竣!$L$9:$L$130)</f>
        <v>54000</v>
      </c>
      <c r="M17" s="403">
        <f t="shared" si="2"/>
        <v>0.898099023733098</v>
      </c>
      <c r="N17" s="376">
        <f>SUMIF(开!$BN$8:$BN$213,"产业"&amp;$B17,开!$P$8:$P$213)+SUMIF('续 '!$BI$8:$BI$198,"产业"&amp;$B17,'续 '!$O$8:$O$198)+SUMIF(竣!$BJ$26:$BJ$130,"产业"&amp;$B17,竣!$O$26:$O$130)</f>
        <v>0</v>
      </c>
      <c r="O17" s="402">
        <f t="shared" si="6"/>
        <v>0</v>
      </c>
      <c r="P17" s="376">
        <f>COUNTIF(开!$BN$8:$BN$213,"基础设施"&amp;$B17)+COUNTIF('续 '!$BI$8:$BI$198,"基础设施"&amp;$B17)+COUNTIF(竣!$BJ$9:$BJ$130,"基础设施"&amp;$B17)</f>
        <v>5</v>
      </c>
      <c r="Q17" s="376">
        <f>SUMIF(开!$BN$8:$BN$213,"基础设施"&amp;$B17,开!$F$8:$F$213)+SUMIF('续 '!$BI$8:$BI$198,"基础设施"&amp;$B17,'续 '!$F$8:$F$198)+SUMIF(竣!$BJ$26:$BJ$130,"基础设施"&amp;$B17,竣!$F$26:$F$130)</f>
        <v>155742</v>
      </c>
      <c r="R17" s="376">
        <f>SUMIF('续 '!$BI$8:$BI$198,"基础设施"&amp;$B17,'续 '!$G$8:$G$198)+SUMIF(竣!$BJ$26:$BJ$130,"基础设施"&amp;$B17,竣!$G$26:$G$130)</f>
        <v>2600</v>
      </c>
      <c r="S17" s="376">
        <f>SUMIF(开!$BN$8:$BN$213,"基础设施"&amp;$B17,开!$L$8:$L$213)+SUMIF('续 '!$BI$8:$BI$198,"基础设施"&amp;$B17,'续 '!$L$8:$L$198)+SUMIF(竣!$BJ$9:$BJ$130,"基础设施"&amp;$B17,竣!$L$9:$L$130)</f>
        <v>6127</v>
      </c>
      <c r="T17" s="403">
        <f t="shared" si="3"/>
        <v>0.101900976266902</v>
      </c>
      <c r="U17" s="376">
        <f>SUMIF(开!$BN$8:$BN$213,"基础设施"&amp;$B17,开!$P$8:$P$213)+SUMIF('续 '!$BI$8:$BI$198,"基础设施"&amp;$B17,'续 '!$O$8:$O$198)+SUMIF(竣!$BJ$26:$BJ$130,"基础设施"&amp;$B17,竣!$O$26:$O$130)</f>
        <v>0</v>
      </c>
      <c r="V17" s="402">
        <f t="shared" si="7"/>
        <v>0</v>
      </c>
      <c r="W17" s="376">
        <f>COUNTIF(开!$BN$8:$BN$213,"民生设施"&amp;$B17)+COUNTIF('续 '!$BI$8:$BI$198,"民生设施"&amp;$B17)+COUNTIF(竣!$BJ$26:$BJ$130,"民生设施"&amp;$B17)</f>
        <v>0</v>
      </c>
      <c r="X17" s="376">
        <f>SUMIF(开!$BN$8:$BN$213,"民生设施"&amp;$B17,开!$F$8:$F$213)+SUMIF('续 '!$BI$8:$BI$198,"民生设施"&amp;$B17,'续 '!$F$8:$F$198)+SUMIF(竣!$BJ$26:$BJ$130,"民生设施"&amp;$B17,竣!$F$26:$F$130)</f>
        <v>0</v>
      </c>
      <c r="Y17" s="376">
        <f>SUMIF('续 '!$BI$8:$BI$198,"民生设施"&amp;$B17,'续 '!$G$8:$G$198)+SUMIF(竣!$BJ$26:$BJ$130,"民生设施"&amp;$B17,竣!$G$26:$G$130)</f>
        <v>0</v>
      </c>
      <c r="Z17" s="376">
        <f>SUMIF(开!$BN$8:$BN$213,"民生设施"&amp;$B17,开!$L$8:$L$213)+SUMIF('续 '!$BI$8:$BI$198,"民生设施"&amp;$B17,'续 '!$L$8:$L$198)+SUMIF(竣!$BJ$26:$BJ$130,"民生设施"&amp;$B17,竣!$L$26:$L$130)</f>
        <v>0</v>
      </c>
      <c r="AA17" s="403">
        <f t="shared" si="4"/>
        <v>0</v>
      </c>
      <c r="AB17" s="376">
        <f>SUMIF(开!$BN$8:$BN$213,"民生设施"&amp;$B17,开!$P$8:$P$213)+SUMIF('续 '!$BI$8:$BI$198,"民生设施"&amp;$B17,'续 '!$O$8:$O$198)+SUMIF(竣!$BJ$26:$BJ$130,"民生设施"&amp;$B17,竣!$O$26:$O$130)</f>
        <v>0</v>
      </c>
      <c r="AC17" s="402" t="e">
        <f t="shared" si="8"/>
        <v>#DIV/0!</v>
      </c>
    </row>
    <row r="18" s="334" customFormat="1" ht="30" customHeight="1" spans="1:29">
      <c r="A18" s="374">
        <v>9</v>
      </c>
      <c r="B18" s="380" t="s">
        <v>240</v>
      </c>
      <c r="C18" s="376">
        <f t="shared" ref="C18:F18" si="14">I18+P18+W18</f>
        <v>18</v>
      </c>
      <c r="D18" s="384">
        <f t="shared" si="14"/>
        <v>479010</v>
      </c>
      <c r="E18" s="423">
        <f ca="1" t="shared" si="14"/>
        <v>141554</v>
      </c>
      <c r="F18" s="384">
        <f t="shared" si="14"/>
        <v>136800</v>
      </c>
      <c r="G18" s="385">
        <f t="shared" si="13"/>
        <v>0</v>
      </c>
      <c r="H18" s="371">
        <f t="shared" si="1"/>
        <v>0</v>
      </c>
      <c r="I18" s="376">
        <f>COUNTIF(开!$BN$8:$BN$213,"产业"&amp;$B18)+COUNTIF('续 '!$BI$8:$BI$198,"产业"&amp;$B18)+COUNTIF(竣!$BJ$8:$BJ$130,"产业"&amp;$B18)</f>
        <v>14</v>
      </c>
      <c r="J18" s="376">
        <f>SUMIF(开!$BN$8:$BN$213,"产业"&amp;$B18,开!$F$8:$F$213)+SUMIF('续 '!$BI$8:$BI$198,"产业"&amp;$B18,'续 '!$F$8:$F$198)+SUMIF(竣!$BJ$8:$BJ$130,"产业"&amp;$B18,竣!$F$8:$F$130)</f>
        <v>402820</v>
      </c>
      <c r="K18" s="376">
        <f>SUMIF('续 '!$BI$8:$BI$198,"产业"&amp;$B18,'续 '!$G$8:$G$198)+SUMIF(竣!$BJ$8:$BJ$130,"产业"&amp;$B18,竣!$G$8:$G$130)</f>
        <v>86643</v>
      </c>
      <c r="L18" s="376">
        <f>SUMIF(开!$BN$8:$BN$213,"产业"&amp;$B18,开!$L$8:$L$213)+SUMIF('续 '!$BI$8:$BI$198,"产业"&amp;$B18,'续 '!$L$8:$L$198)+SUMIF(竣!$BJ$8:$BJ$130,"产业"&amp;$B18,竣!$L$8:$L$130)</f>
        <v>129200</v>
      </c>
      <c r="M18" s="403">
        <f t="shared" si="2"/>
        <v>0.944444444444444</v>
      </c>
      <c r="N18" s="376">
        <f>SUMIF(开!$BN$8:$BN$213,"产业"&amp;$B18,开!$P$8:$P$213)+SUMIF('续 '!$BI$8:$BI$198,"产业"&amp;$B18,'续 '!$O$8:$O$198)+SUMIF(竣!$BJ$8:$BJ$130,"产业"&amp;$B18,竣!$O$8:$O$130)</f>
        <v>0</v>
      </c>
      <c r="O18" s="402">
        <f t="shared" si="6"/>
        <v>0</v>
      </c>
      <c r="P18" s="376">
        <f>COUNTIF(开!$BN$8:$BN$213,"基础设施"&amp;$B18)+COUNTIF('续 '!$BI$8:$BI$198,"基础设施"&amp;$B18)+COUNTIF(竣!$BJ$8:$BJ$130,"基础设施"&amp;$B18)</f>
        <v>4</v>
      </c>
      <c r="Q18" s="376">
        <f>SUMIF(开!$BN$8:$BN$213,"基础设施"&amp;$B18,开!$F$8:$F$213)+SUMIF('续 '!$BI$8:$BI$198,"基础设施"&amp;$B18,'续 '!$F$8:$F$198)+SUMIF(竣!$BJ$8:$BJ$130,"基础设施"&amp;$B18,竣!$F$8:$F$130)</f>
        <v>76190</v>
      </c>
      <c r="R18" s="376">
        <f>SUMIF('续 '!$BI$8:$BI$198,"基础设施"&amp;$B18,'续 '!$G$8:$G$198)+SUMIF(竣!$BJ$8:$BJ$130,"基础设施"&amp;$B18,竣!$G$8:$G$130)</f>
        <v>54911</v>
      </c>
      <c r="S18" s="376">
        <f>SUMIF(开!$BN$8:$BN$213,"基础设施"&amp;$B18,开!$L$8:$L$213)+SUMIF('续 '!$BI$8:$BI$198,"基础设施"&amp;$B18,'续 '!$L$8:$L$198)+SUMIF(竣!$BJ$8:$BJ$130,"基础设施"&amp;$B18,竣!$L$8:$L$130)</f>
        <v>7600</v>
      </c>
      <c r="T18" s="403">
        <f t="shared" si="3"/>
        <v>0.0555555555555556</v>
      </c>
      <c r="U18" s="376">
        <f>SUMIF(开!$BN$8:$BN$213,"基础设施"&amp;$B18,开!$P$8:$P$213)+SUMIF('续 '!$BI$8:$BI$198,"基础设施"&amp;$B18,'续 '!$O$8:$O$198)+SUMIF(竣!$BJ$8:$BJ$130,"基础设施"&amp;$B18,竣!$O$8:$O$130)</f>
        <v>0</v>
      </c>
      <c r="V18" s="402">
        <f t="shared" si="7"/>
        <v>0</v>
      </c>
      <c r="W18" s="376">
        <f>COUNTIF(开!$BN$8:$BN$213,"民生设施"&amp;$B18)+COUNTIF('续 '!$BI$8:$BI$198,"民生设施"&amp;$B18)+COUNTIF(竣!$BJ$8:$BJ$130,"民生设施"&amp;$B18)</f>
        <v>0</v>
      </c>
      <c r="X18" s="376">
        <f>SUMIF(开!$BN$8:$BN$213,"民生设施"&amp;$B18,开!$F$8:$F$213)+SUMIF('续 '!$BI$8:$BI$198,"民生设施"&amp;$B18,'续 '!$F$8:$F$198)+SUMIF(竣!$BJ$26:$BJ$130,"民生设施"&amp;$B18,竣!$F$26:$F$130)</f>
        <v>0</v>
      </c>
      <c r="Y18" s="376">
        <f ca="1">SUMIF('续 '!$BI$8:$BI$198,"民生设施"&amp;$B18,'续 '!$G$8:$G$198)+SUMIF(竣!$BJ$8:$BJ$130,"民生设施"&amp;$B18,竣!$G$26:$G$130)</f>
        <v>0</v>
      </c>
      <c r="Z18" s="376">
        <f>SUMIF(开!$BN$8:$BN$213,"民生设施"&amp;$B18,开!$L$8:$L$213)+SUMIF('续 '!$BI$8:$BI$198,"民生设施"&amp;$B18,'续 '!$L$8:$L$198)+SUMIF(竣!$BJ$26:$BJ$130,"民生设施"&amp;$B18,竣!$L$26:$L$130)</f>
        <v>0</v>
      </c>
      <c r="AA18" s="403">
        <f t="shared" si="4"/>
        <v>0</v>
      </c>
      <c r="AB18" s="376">
        <f>SUMIF(开!$BN$8:$BN$213,"民生设施"&amp;$B18,开!$P$8:$P$213)+SUMIF('续 '!$BI$8:$BI$198,"民生设施"&amp;$B18,'续 '!$O$8:$O$198)+SUMIF(竣!$BJ$26:$BJ$130,"民生设施"&amp;$B18,竣!$O$26:$O$130)</f>
        <v>0</v>
      </c>
      <c r="AC18" s="402" t="e">
        <f t="shared" si="8"/>
        <v>#DIV/0!</v>
      </c>
    </row>
    <row r="19" s="334" customFormat="1" ht="30" customHeight="1" spans="1:29">
      <c r="A19" s="374">
        <v>10</v>
      </c>
      <c r="B19" s="378" t="s">
        <v>498</v>
      </c>
      <c r="C19" s="376">
        <f t="shared" si="12"/>
        <v>21</v>
      </c>
      <c r="D19" s="384">
        <f t="shared" si="12"/>
        <v>350344.32</v>
      </c>
      <c r="E19" s="384">
        <f t="shared" si="12"/>
        <v>77895</v>
      </c>
      <c r="F19" s="384">
        <f t="shared" si="12"/>
        <v>46230</v>
      </c>
      <c r="G19" s="385">
        <f t="shared" si="13"/>
        <v>0</v>
      </c>
      <c r="H19" s="371">
        <f t="shared" si="1"/>
        <v>0</v>
      </c>
      <c r="I19" s="376">
        <f>COUNTIF(开!$BN$8:$BN$213,"产业"&amp;$B19)+COUNTIF('续 '!$BI$8:$BI$198,"产业"&amp;$B19)+COUNTIF(竣!$BJ$26:$BJ$130,"产业"&amp;$B19)</f>
        <v>1</v>
      </c>
      <c r="J19" s="376">
        <f>SUMIF(开!$BN$8:$BN$213,"产业"&amp;$B19,开!$F$8:$F$213)+SUMIF('续 '!$BI$8:$BI$198,"产业"&amp;$B19,'续 '!$F$8:$F$198)+SUMIF(竣!$BJ$26:$BJ$130,"产业"&amp;$B19,竣!$F$26:$F$130)</f>
        <v>10400</v>
      </c>
      <c r="K19" s="376">
        <f>SUMIF('续 '!$BI$8:$BI$198,"产业"&amp;$B19,'续 '!$G$8:$G$198)+SUMIF(竣!$BJ$26:$BJ$130,"产业"&amp;$B19,竣!$G$26:$G$130)</f>
        <v>0</v>
      </c>
      <c r="L19" s="376">
        <f>SUMIF(开!$BN$8:$BN$213,"产业"&amp;$B19,开!$L$8:$L$213)+SUMIF('续 '!$BI$8:$BI$198,"产业"&amp;$B19,'续 '!$L$8:$L$198)+SUMIF(竣!$BJ$26:$BJ$130,"产业"&amp;$B19,竣!$L$26:$L$130)</f>
        <v>1000</v>
      </c>
      <c r="M19" s="403">
        <f t="shared" si="2"/>
        <v>0.0216309755569976</v>
      </c>
      <c r="N19" s="376">
        <f>SUMIF(开!$BN$8:$BN$213,"产业"&amp;$B19,开!$P$8:$P$213)+SUMIF('续 '!$BI$8:$BI$198,"产业"&amp;$B19,'续 '!$O$8:$O$198)+SUMIF(竣!$BJ$26:$BJ$130,"产业"&amp;$B19,竣!$O$26:$O$130)</f>
        <v>0</v>
      </c>
      <c r="O19" s="402">
        <f t="shared" si="6"/>
        <v>0</v>
      </c>
      <c r="P19" s="376">
        <f>COUNTIF(开!$BN$8:$BN$213,"基础设施"&amp;$B19)+COUNTIF('续 '!$BI$8:$BI$198,"基础设施"&amp;$B19)+COUNTIF(竣!$BJ$26:$BJ$130,"基础设施"&amp;$B19)</f>
        <v>17</v>
      </c>
      <c r="Q19" s="376">
        <f>SUMIF(开!$BN$8:$BN$213,"基础设施"&amp;$B19,开!$F$8:$F$213)+SUMIF('续 '!$BI$8:$BI$198,"基础设施"&amp;$B19,'续 '!$F$8:$F$198)+SUMIF(竣!$BJ$26:$BJ$130,"基础设施"&amp;$B19,竣!$F$26:$F$130)</f>
        <v>288760.52</v>
      </c>
      <c r="R19" s="376">
        <f>SUMIF('续 '!$BI$8:$BI$198,"基础设施"&amp;$B19,'续 '!$G$8:$G$198)+SUMIF(竣!$BJ$26:$BJ$130,"基础设施"&amp;$B19,竣!$G$26:$G$130)</f>
        <v>61285</v>
      </c>
      <c r="S19" s="376">
        <f>SUMIF(开!$BN$8:$BN$213,"基础设施"&amp;$B19,开!$L$8:$L$213)+SUMIF('续 '!$BI$8:$BI$198,"基础设施"&amp;$B19,'续 '!$L$8:$L$198)+SUMIF(竣!$BJ$26:$BJ$130,"基础设施"&amp;$B19,竣!$L$26:$L$130)</f>
        <v>33730</v>
      </c>
      <c r="T19" s="403">
        <f t="shared" si="3"/>
        <v>0.72961280553753</v>
      </c>
      <c r="U19" s="376">
        <f>SUMIF(开!$BN$8:$BN$213,"基础设施"&amp;$B19,开!$P$8:$P$213)+SUMIF('续 '!$BI$8:$BI$198,"基础设施"&amp;$B19,'续 '!$O$8:$O$198)+SUMIF(竣!$BJ$26:$BJ$130,"基础设施"&amp;$B19,竣!$O$26:$O$130)</f>
        <v>0</v>
      </c>
      <c r="V19" s="402">
        <f t="shared" si="7"/>
        <v>0</v>
      </c>
      <c r="W19" s="376">
        <f>COUNTIF(开!$BN$8:$BN$213,"民生设施"&amp;$B19)+COUNTIF('续 '!$BI$8:$BI$198,"民生设施"&amp;$B19)+COUNTIF(竣!$BJ$26:$BJ$130,"民生设施"&amp;$B19)</f>
        <v>3</v>
      </c>
      <c r="X19" s="376">
        <f>SUMIF(开!$BN$8:$BN$213,"民生设施"&amp;$B19,开!$F$8:$F$213)+SUMIF('续 '!$BI$8:$BI$198,"民生设施"&amp;$B19,'续 '!$F$8:$F$198)+SUMIF(竣!$BJ$8:$BJ$130,"民生设施"&amp;$B19,竣!$F$8:$F$130)</f>
        <v>51183.8</v>
      </c>
      <c r="Y19" s="376">
        <f>SUMIF('续 '!$BI$8:$BI$198,"民生设施"&amp;$B19,'续 '!$G$8:$G$198)+SUMIF(竣!$BJ$26:$BJ$130,"民生设施"&amp;$B19,竣!$G$8:$G$130)</f>
        <v>16610</v>
      </c>
      <c r="Z19" s="376">
        <f>SUMIF(开!$BN$8:$BN$213,"民生设施"&amp;$B19,开!$L$8:$L$213)+SUMIF('续 '!$BI$8:$BI$198,"民生设施"&amp;$B19,'续 '!$L$8:$L$198)+SUMIF(竣!$BJ$8:$BJ$130,"民生设施"&amp;$B19,竣!$L$8:$L$130)</f>
        <v>11500</v>
      </c>
      <c r="AA19" s="403">
        <f t="shared" si="4"/>
        <v>0.248756218905473</v>
      </c>
      <c r="AB19" s="376">
        <f>SUMIF(开!$BN$8:$BN$213,"民生设施"&amp;$B19,开!$P$8:$P$213)+SUMIF('续 '!$BI$8:$BI$198,"民生设施"&amp;$B19,'续 '!$O$8:$O$198)+SUMIF(竣!$BJ$8:$BJ$130,"民生设施"&amp;$B19,竣!$O$8:$O$130)</f>
        <v>0</v>
      </c>
      <c r="AC19" s="402">
        <f t="shared" si="8"/>
        <v>0</v>
      </c>
    </row>
    <row r="20" s="334" customFormat="1" ht="30" customHeight="1" spans="1:29">
      <c r="A20" s="374"/>
      <c r="B20" s="378" t="s">
        <v>2753</v>
      </c>
      <c r="C20" s="376">
        <f>C19+C36+C27+C28+C31</f>
        <v>25</v>
      </c>
      <c r="D20" s="376">
        <f t="shared" ref="D20:Z20" si="15">D19+D36+D27+D28+D31</f>
        <v>5941344.32</v>
      </c>
      <c r="E20" s="376">
        <f t="shared" si="15"/>
        <v>86955</v>
      </c>
      <c r="F20" s="376">
        <f t="shared" si="15"/>
        <v>138170</v>
      </c>
      <c r="G20" s="377">
        <f t="shared" si="15"/>
        <v>0</v>
      </c>
      <c r="H20" s="371">
        <f t="shared" si="1"/>
        <v>0</v>
      </c>
      <c r="I20" s="376">
        <f t="shared" si="15"/>
        <v>4</v>
      </c>
      <c r="J20" s="376">
        <f t="shared" si="15"/>
        <v>5590400</v>
      </c>
      <c r="K20" s="376">
        <f t="shared" si="15"/>
        <v>0</v>
      </c>
      <c r="L20" s="376">
        <f t="shared" si="15"/>
        <v>91000</v>
      </c>
      <c r="M20" s="403">
        <f t="shared" si="2"/>
        <v>0.65860895997684</v>
      </c>
      <c r="N20" s="376">
        <f>N19+N36+N27+N28+N31</f>
        <v>0</v>
      </c>
      <c r="O20" s="402">
        <f t="shared" si="6"/>
        <v>0</v>
      </c>
      <c r="P20" s="376">
        <f t="shared" si="15"/>
        <v>17</v>
      </c>
      <c r="Q20" s="376">
        <f t="shared" si="15"/>
        <v>288760.52</v>
      </c>
      <c r="R20" s="376">
        <f t="shared" si="15"/>
        <v>61285</v>
      </c>
      <c r="S20" s="376">
        <f t="shared" si="15"/>
        <v>33730</v>
      </c>
      <c r="T20" s="403">
        <f t="shared" si="3"/>
        <v>0.24411956285735</v>
      </c>
      <c r="U20" s="376">
        <f>U19+U36+U27+U28+U31</f>
        <v>0</v>
      </c>
      <c r="V20" s="402">
        <f t="shared" si="7"/>
        <v>0</v>
      </c>
      <c r="W20" s="376">
        <f t="shared" si="15"/>
        <v>4</v>
      </c>
      <c r="X20" s="376">
        <f t="shared" si="15"/>
        <v>62183.8</v>
      </c>
      <c r="Y20" s="376">
        <f t="shared" si="15"/>
        <v>25670</v>
      </c>
      <c r="Z20" s="376">
        <f t="shared" si="15"/>
        <v>13440</v>
      </c>
      <c r="AA20" s="403">
        <f t="shared" si="4"/>
        <v>0.0972714771658102</v>
      </c>
      <c r="AB20" s="376">
        <f>AB19+AB36+AB27+AB28+AB31</f>
        <v>0</v>
      </c>
      <c r="AC20" s="402">
        <f t="shared" si="8"/>
        <v>0</v>
      </c>
    </row>
    <row r="21" s="334" customFormat="1" ht="30" customHeight="1" spans="1:29">
      <c r="A21" s="374">
        <v>11</v>
      </c>
      <c r="B21" s="378" t="s">
        <v>504</v>
      </c>
      <c r="C21" s="376">
        <f t="shared" ref="C21:F21" si="16">I21+P21+W21</f>
        <v>3</v>
      </c>
      <c r="D21" s="384">
        <f t="shared" si="16"/>
        <v>350600</v>
      </c>
      <c r="E21" s="384">
        <f t="shared" si="16"/>
        <v>8016</v>
      </c>
      <c r="F21" s="384">
        <f t="shared" si="16"/>
        <v>24000</v>
      </c>
      <c r="G21" s="385">
        <f>N21+U21+AB21</f>
        <v>0</v>
      </c>
      <c r="H21" s="371">
        <f t="shared" si="1"/>
        <v>0</v>
      </c>
      <c r="I21" s="376">
        <f>COUNTIF(开!$BN$8:$BN$213,"产业"&amp;$B21)+COUNTIF('续 '!$BI$8:$BI$198,"产业"&amp;$B21)+COUNTIF(竣!$BJ$26:$BJ$130,"产业"&amp;$B21)</f>
        <v>2</v>
      </c>
      <c r="J21" s="376">
        <f>SUMIF(开!$BN$8:$BN$213,"产业"&amp;$B21,开!$F$8:$F$213)+SUMIF('续 '!$BI$8:$BI$198,"产业"&amp;$B21,'续 '!$F$8:$F$198)+SUMIF(竣!$BJ$26:$BJ$130,"产业"&amp;$B21,竣!$F$26:$F$130)</f>
        <v>340000</v>
      </c>
      <c r="K21" s="376">
        <f>SUMIF('续 '!$BI$8:$BI$198,"产业"&amp;$B21,'续 '!$G$8:$G$198)+SUMIF(竣!$BJ$26:$BJ$130,"产业"&amp;$B21,竣!$G$26:$G$130)</f>
        <v>8016</v>
      </c>
      <c r="L21" s="376">
        <f>SUMIF(开!$BN$8:$BN$213,"产业"&amp;$B21,开!$L$8:$L$213)+SUMIF('续 '!$BI$8:$BI$198,"产业"&amp;$B21,'续 '!$L$8:$L$198)+SUMIF(竣!$BJ$26:$BJ$130,"产业"&amp;$B21,竣!$L$26:$L$130)</f>
        <v>20000</v>
      </c>
      <c r="M21" s="403">
        <f t="shared" si="2"/>
        <v>0.833333333333333</v>
      </c>
      <c r="N21" s="376">
        <f>SUMIF(开!$BN$8:$BN$213,"产业"&amp;$B21,开!$P$8:$P$213)+SUMIF('续 '!$BI$8:$BI$198,"产业"&amp;$B21,'续 '!$O$8:$O$198)+SUMIF(竣!$BJ$26:$BJ$130,"产业"&amp;$B21,竣!$O$26:$O$130)</f>
        <v>0</v>
      </c>
      <c r="O21" s="402">
        <f t="shared" si="6"/>
        <v>0</v>
      </c>
      <c r="P21" s="376">
        <f>COUNTIF(开!$BN$8:$BN$213,"基础设施"&amp;$B21)+COUNTIF('续 '!$BI$8:$BI$198,"基础设施"&amp;$B21)+COUNTIF(竣!$BJ$26:$BJ$130,"基础设施"&amp;$B21)</f>
        <v>1</v>
      </c>
      <c r="Q21" s="376">
        <f>SUMIF(开!$BN$8:$BN$213,"基础设施"&amp;$B21,开!$F$8:$F$213)+SUMIF('续 '!$BI$8:$BI$198,"基础设施"&amp;$B21,'续 '!$F$8:$F$198)+SUMIF(竣!$BJ$26:$BJ$130,"基础设施"&amp;$B21,竣!$F$26:$F$130)</f>
        <v>10600</v>
      </c>
      <c r="R21" s="376">
        <f>SUMIF('续 '!$BI$8:$BI$198,"基础设施"&amp;$B21,'续 '!$G$8:$G$198)+SUMIF(竣!$BJ$26:$BJ$130,"基础设施"&amp;$B21,竣!$G$26:$G$130)</f>
        <v>0</v>
      </c>
      <c r="S21" s="376">
        <f>SUMIF(开!$BN$8:$BN$213,"基础设施"&amp;$B21,开!$L$8:$L$213)+SUMIF('续 '!$BI$8:$BI$198,"基础设施"&amp;$B21,'续 '!$L$8:$L$198)+SUMIF(竣!$BJ$26:$BJ$130,"基础设施"&amp;$B21,竣!$L$26:$L$130)</f>
        <v>4000</v>
      </c>
      <c r="T21" s="403">
        <f t="shared" si="3"/>
        <v>0.166666666666667</v>
      </c>
      <c r="U21" s="376">
        <f>SUMIF(开!$BN$8:$BN$213,"基础设施"&amp;$B21,开!$P$8:$P$213)+SUMIF('续 '!$BI$8:$BI$198,"基础设施"&amp;$B21,'续 '!$O$8:$O$198)+SUMIF(竣!$BJ$26:$BJ$130,"基础设施"&amp;$B21,竣!$O$26:$O$130)</f>
        <v>0</v>
      </c>
      <c r="V21" s="402">
        <f t="shared" si="7"/>
        <v>0</v>
      </c>
      <c r="W21" s="376">
        <f>COUNTIF(开!$BN$8:$BN$213,"民生设施"&amp;$B21)+COUNTIF('续 '!$BI$8:$BI$198,"民生设施"&amp;$B21)+COUNTIF(竣!$BJ$26:$BJ$130,"民生设施"&amp;$B21)</f>
        <v>0</v>
      </c>
      <c r="X21" s="376">
        <f>SUMIF(开!$BN$8:$BN$213,"民生设施"&amp;$B21,开!$F$8:$F$213)+SUMIF('续 '!$BI$8:$BI$198,"民生设施"&amp;$B21,'续 '!$F$8:$F$198)+SUMIF(竣!$BJ$26:$BJ$130,"民生设施"&amp;$B21,竣!$F$26:$F$130)</f>
        <v>0</v>
      </c>
      <c r="Y21" s="376">
        <f>SUMIF('续 '!$BI$8:$BI$198,"民生设施"&amp;$B21,'续 '!$G$8:$G$198)+SUMIF(竣!$BJ$26:$BJ$130,"民生设施"&amp;$B21,竣!$G$26:$G$130)</f>
        <v>0</v>
      </c>
      <c r="Z21" s="376">
        <f>SUMIF(开!$BN$8:$BN$213,"民生设施"&amp;$B21,开!$L$8:$L$213)+SUMIF('续 '!$BI$8:$BI$198,"民生设施"&amp;$B21,'续 '!$L$8:$L$198)+SUMIF(竣!$BJ$26:$BJ$130,"民生设施"&amp;$B21,竣!$L$26:$L$130)</f>
        <v>0</v>
      </c>
      <c r="AA21" s="403">
        <f t="shared" si="4"/>
        <v>0</v>
      </c>
      <c r="AB21" s="376">
        <f>SUMIF(开!$BN$8:$BN$213,"民生设施"&amp;$B21,开!$P$8:$P$213)+SUMIF('续 '!$BI$8:$BI$198,"民生设施"&amp;$B21,'续 '!$O$8:$O$198)+SUMIF(竣!$BJ$26:$BJ$130,"民生设施"&amp;$B21,竣!$O$26:$O$130)</f>
        <v>0</v>
      </c>
      <c r="AC21" s="402" t="e">
        <f t="shared" si="8"/>
        <v>#DIV/0!</v>
      </c>
    </row>
    <row r="22" ht="30" customHeight="1" spans="1:29">
      <c r="A22" s="372" t="s">
        <v>560</v>
      </c>
      <c r="B22" s="373" t="s">
        <v>2754</v>
      </c>
      <c r="C22" s="368">
        <f>SUM(C23:C36)</f>
        <v>13</v>
      </c>
      <c r="D22" s="424">
        <f t="shared" ref="D22:Z22" si="17">SUM(D23:D36)</f>
        <v>6222119</v>
      </c>
      <c r="E22" s="424">
        <f t="shared" si="17"/>
        <v>202239</v>
      </c>
      <c r="F22" s="424">
        <f t="shared" si="17"/>
        <v>244669</v>
      </c>
      <c r="G22" s="370">
        <f t="shared" si="17"/>
        <v>0</v>
      </c>
      <c r="H22" s="371">
        <f t="shared" si="1"/>
        <v>0</v>
      </c>
      <c r="I22" s="424">
        <f t="shared" si="17"/>
        <v>3</v>
      </c>
      <c r="J22" s="424">
        <f t="shared" si="17"/>
        <v>5580000</v>
      </c>
      <c r="K22" s="424"/>
      <c r="L22" s="424">
        <f t="shared" si="17"/>
        <v>90000</v>
      </c>
      <c r="M22" s="402">
        <f t="shared" si="2"/>
        <v>0.367843903396017</v>
      </c>
      <c r="N22" s="424">
        <f>SUM(N23:N36)</f>
        <v>0</v>
      </c>
      <c r="O22" s="402">
        <f t="shared" si="6"/>
        <v>0</v>
      </c>
      <c r="P22" s="424">
        <f t="shared" si="17"/>
        <v>8</v>
      </c>
      <c r="Q22" s="424">
        <f t="shared" si="17"/>
        <v>593019</v>
      </c>
      <c r="R22" s="424">
        <f t="shared" si="17"/>
        <v>186679</v>
      </c>
      <c r="S22" s="424">
        <f t="shared" si="17"/>
        <v>139729</v>
      </c>
      <c r="T22" s="402">
        <f t="shared" si="3"/>
        <v>0.571094008640245</v>
      </c>
      <c r="U22" s="424">
        <f>SUM(U23:U36)</f>
        <v>0</v>
      </c>
      <c r="V22" s="402">
        <f t="shared" si="7"/>
        <v>0</v>
      </c>
      <c r="W22" s="424">
        <f t="shared" si="17"/>
        <v>2</v>
      </c>
      <c r="X22" s="424">
        <f t="shared" si="17"/>
        <v>49100</v>
      </c>
      <c r="Y22" s="424">
        <f t="shared" si="17"/>
        <v>15560</v>
      </c>
      <c r="Z22" s="424">
        <f t="shared" si="17"/>
        <v>14940</v>
      </c>
      <c r="AA22" s="402">
        <f t="shared" si="4"/>
        <v>0.0610620879637388</v>
      </c>
      <c r="AB22" s="424">
        <f>SUM(AB23:AB36)</f>
        <v>0</v>
      </c>
      <c r="AC22" s="402">
        <f t="shared" si="8"/>
        <v>0</v>
      </c>
    </row>
    <row r="23" s="334" customFormat="1" ht="40.15" customHeight="1" spans="1:29">
      <c r="A23" s="374">
        <v>12</v>
      </c>
      <c r="B23" s="375" t="s">
        <v>1621</v>
      </c>
      <c r="C23" s="376">
        <f t="shared" ref="C23:C36" si="18">I23+P23+W23</f>
        <v>2</v>
      </c>
      <c r="D23" s="384">
        <f t="shared" ref="D23:D36" si="19">J23+Q23+X23</f>
        <v>19665</v>
      </c>
      <c r="E23" s="384">
        <f t="shared" ref="E23:E36" si="20">K23+R23+Y23</f>
        <v>2005</v>
      </c>
      <c r="F23" s="384">
        <f t="shared" ref="F23:F36" si="21">L23+S23+Z23</f>
        <v>15360</v>
      </c>
      <c r="G23" s="385">
        <f t="shared" ref="G23:G36" si="22">N23+U23+AB23</f>
        <v>0</v>
      </c>
      <c r="H23" s="371">
        <f t="shared" si="1"/>
        <v>0</v>
      </c>
      <c r="I23" s="376">
        <f>COUNTIF(开!$BN$8:$BN$213,"产业"&amp;$B23)+COUNTIF('续 '!$BI$8:$BI$198,"产业"&amp;$B23)+COUNTIF(竣!$BJ$26:$BJ$130,"产业"&amp;$B23)</f>
        <v>0</v>
      </c>
      <c r="J23" s="376">
        <f>SUMIF(开!$BN$8:$BN$213,"产业"&amp;$B23,开!$F$8:$F$213)+SUMIF('续 '!$BI$8:$BI$198,"产业"&amp;$B23,'续 '!$F$8:$F$198)+SUMIF(竣!$BJ$26:$BJ$130,"产业"&amp;$B23,竣!$F$26:$F$130)</f>
        <v>0</v>
      </c>
      <c r="K23" s="376">
        <f>SUMIF('续 '!$BI$8:$BI$198,"产业"&amp;$B23,'续 '!$G$8:$G$198)+SUMIF(竣!$BJ$26:$BJ$130,"产业"&amp;$B23,竣!$G$26:$G$130)</f>
        <v>0</v>
      </c>
      <c r="L23" s="376">
        <f>SUMIF(开!$BN$8:$BN$213,"产业"&amp;$B23,开!$L$8:$L$213)+SUMIF('续 '!$BI$8:$BI$198,"产业"&amp;$B23,'续 '!$L$8:$L$198)+SUMIF(竣!$BJ$26:$BJ$130,"产业"&amp;$B23,竣!$L$26:$L$130)</f>
        <v>0</v>
      </c>
      <c r="M23" s="403">
        <f t="shared" si="2"/>
        <v>0</v>
      </c>
      <c r="N23" s="376">
        <f>SUMIF(开!$BN$8:$BN$213,"产业"&amp;$B23,开!$P$8:$P$213)+SUMIF('续 '!$BI$8:$BI$198,"产业"&amp;$B23,'续 '!$O$8:$O$198)+SUMIF(竣!$BJ$26:$BJ$130,"产业"&amp;$B23,竣!$O$26:$O$130)</f>
        <v>0</v>
      </c>
      <c r="O23" s="402" t="e">
        <f t="shared" si="6"/>
        <v>#DIV/0!</v>
      </c>
      <c r="P23" s="376">
        <f>COUNTIF(开!$BN$8:$BN$213,"基础设施"&amp;$B23)+COUNTIF('续 '!$BI$8:$BI$198,"基础设施"&amp;$B23)+COUNTIF(竣!$BJ$26:$BJ$130,"基础设施"&amp;$B23)</f>
        <v>2</v>
      </c>
      <c r="Q23" s="376">
        <f>SUMIF(开!$BN$8:$BN$213,"基础设施"&amp;$B23,开!$F$8:$F$213)+SUMIF('续 '!$BI$8:$BI$198,"基础设施"&amp;$B23,'续 '!$F$8:$F$198)+SUMIF(竣!$BJ$26:$BJ$130,"基础设施"&amp;$B23,竣!$F$26:$F$130)</f>
        <v>19665</v>
      </c>
      <c r="R23" s="376">
        <f>SUMIF('续 '!$BI$8:$BI$198,"基础设施"&amp;$B23,'续 '!$G$8:$G$198)+SUMIF(竣!$BJ$26:$BJ$130,"基础设施"&amp;$B23,竣!$G$26:$G$130)</f>
        <v>2005</v>
      </c>
      <c r="S23" s="376">
        <f>SUMIF(开!$BN$8:$BN$213,"基础设施"&amp;$B23,开!$L$8:$L$213)+SUMIF('续 '!$BI$8:$BI$198,"基础设施"&amp;$B23,'续 '!$L$8:$L$198)+SUMIF(竣!$BJ$26:$BJ$130,"基础设施"&amp;$B23,竣!$L$26:$L$130)</f>
        <v>15360</v>
      </c>
      <c r="T23" s="403">
        <f t="shared" si="3"/>
        <v>1</v>
      </c>
      <c r="U23" s="376">
        <f>SUMIF(开!$BN$8:$BN$213,"基础设施"&amp;$B23,开!$P$8:$P$213)+SUMIF('续 '!$BI$8:$BI$198,"基础设施"&amp;$B23,'续 '!$O$8:$O$198)+SUMIF(竣!$BJ$26:$BJ$130,"基础设施"&amp;$B23,竣!$O$26:$O$130)</f>
        <v>0</v>
      </c>
      <c r="V23" s="402">
        <f t="shared" si="7"/>
        <v>0</v>
      </c>
      <c r="W23" s="376">
        <f>COUNTIF(开!$BN$8:$BN$213,"民生设施"&amp;$B23)+COUNTIF('续 '!$BI$8:$BI$198,"民生设施"&amp;$B23)+COUNTIF(竣!$BJ$26:$BJ$130,"民生设施"&amp;$B23)</f>
        <v>0</v>
      </c>
      <c r="X23" s="376">
        <f>SUMIF(开!$BN$8:$BN$213,"民生设施"&amp;$B23,开!$F$8:$F$213)+SUMIF('续 '!$BI$8:$BI$198,"民生设施"&amp;$B23,'续 '!$F$8:$F$198)+SUMIF(竣!$BJ$26:$BJ$130,"民生设施"&amp;$B23,竣!$F$26:$F$130)</f>
        <v>0</v>
      </c>
      <c r="Y23" s="376">
        <f>SUMIF('续 '!$BI$8:$BI$198,"民生设施"&amp;$B23,'续 '!$G$8:$G$198)+SUMIF(竣!$BJ$26:$BJ$130,"民生设施"&amp;$B23,竣!$G$26:$G$130)</f>
        <v>0</v>
      </c>
      <c r="Z23" s="376">
        <f>SUMIF(开!$BN$8:$BN$213,"民生设施"&amp;$B23,开!$L$8:$L$213)+SUMIF('续 '!$BI$8:$BI$198,"民生设施"&amp;$B23,'续 '!$L$8:$L$198)+SUMIF(竣!$BJ$26:$BJ$130,"民生设施"&amp;$B23,竣!$L$26:$L$130)</f>
        <v>0</v>
      </c>
      <c r="AA23" s="403">
        <f t="shared" si="4"/>
        <v>0</v>
      </c>
      <c r="AB23" s="376">
        <f>SUMIF(开!$BN$8:$BN$213,"民生设施"&amp;$B23,开!$P$8:$P$213)+SUMIF('续 '!$BI$8:$BI$198,"民生设施"&amp;$B23,'续 '!$O$8:$O$198)+SUMIF(竣!$BJ$26:$BJ$130,"民生设施"&amp;$B23,竣!$O$26:$O$130)</f>
        <v>0</v>
      </c>
      <c r="AC23" s="402" t="e">
        <f t="shared" si="8"/>
        <v>#DIV/0!</v>
      </c>
    </row>
    <row r="24" s="334" customFormat="1" ht="43.9" customHeight="1" spans="1:29">
      <c r="A24" s="374"/>
      <c r="B24" s="375" t="s">
        <v>2755</v>
      </c>
      <c r="C24" s="376">
        <f t="shared" si="18"/>
        <v>0</v>
      </c>
      <c r="D24" s="384">
        <f t="shared" si="19"/>
        <v>0</v>
      </c>
      <c r="E24" s="384">
        <f t="shared" si="20"/>
        <v>0</v>
      </c>
      <c r="F24" s="384">
        <f t="shared" si="21"/>
        <v>0</v>
      </c>
      <c r="G24" s="385">
        <f t="shared" si="22"/>
        <v>0</v>
      </c>
      <c r="H24" s="371" t="e">
        <f t="shared" si="1"/>
        <v>#DIV/0!</v>
      </c>
      <c r="I24" s="376">
        <f>COUNTIF(开!$BN$8:$BN$213,"产业"&amp;$B24)+COUNTIF('续 '!$BI$8:$BI$198,"产业"&amp;$B24)+COUNTIF(竣!$BJ$26:$BJ$130,"产业"&amp;$B24)</f>
        <v>0</v>
      </c>
      <c r="J24" s="376">
        <f>SUMIF(开!$BN$8:$BN$213,"产业"&amp;$B24,开!$F$8:$F$213)+SUMIF('续 '!$BI$8:$BI$198,"产业"&amp;$B24,'续 '!$F$8:$F$198)+SUMIF(竣!$BJ$26:$BJ$130,"产业"&amp;$B24,竣!$F$26:$F$130)</f>
        <v>0</v>
      </c>
      <c r="K24" s="376">
        <f>SUMIF('续 '!$BI$8:$BI$198,"产业"&amp;$B24,'续 '!$G$8:$G$198)+SUMIF(竣!$BJ$26:$BJ$130,"产业"&amp;$B24,竣!$G$26:$G$130)</f>
        <v>0</v>
      </c>
      <c r="L24" s="376">
        <f>SUMIF(开!$BN$8:$BN$213,"产业"&amp;$B24,开!$L$8:$L$213)+SUMIF('续 '!$BI$8:$BI$198,"产业"&amp;$B24,'续 '!$L$8:$L$198)+SUMIF(竣!$BJ$26:$BJ$130,"产业"&amp;$B24,竣!$L$26:$L$130)</f>
        <v>0</v>
      </c>
      <c r="M24" s="403" t="e">
        <f t="shared" si="2"/>
        <v>#DIV/0!</v>
      </c>
      <c r="N24" s="376">
        <f>SUMIF(开!$BN$8:$BN$213,"产业"&amp;$B24,开!$P$8:$P$213)+SUMIF('续 '!$BI$8:$BI$198,"产业"&amp;$B24,'续 '!$O$8:$O$198)+SUMIF(竣!$BJ$26:$BJ$130,"产业"&amp;$B24,竣!$O$26:$O$130)</f>
        <v>0</v>
      </c>
      <c r="O24" s="402" t="e">
        <f t="shared" si="6"/>
        <v>#DIV/0!</v>
      </c>
      <c r="P24" s="376">
        <f>COUNTIF(开!$BN$8:$BN$213,"基础设施"&amp;$B24)+COUNTIF('续 '!$BI$8:$BI$198,"基础设施"&amp;$B24)+COUNTIF(竣!$BJ$26:$BJ$130,"基础设施"&amp;$B24)</f>
        <v>0</v>
      </c>
      <c r="Q24" s="376">
        <f>SUMIF(开!$BN$8:$BN$213,"基础设施"&amp;$B24,开!$F$8:$F$213)+SUMIF('续 '!$BI$8:$BI$198,"基础设施"&amp;$B24,'续 '!$F$8:$F$198)+SUMIF(竣!$BJ$26:$BJ$130,"基础设施"&amp;$B24,竣!$F$26:$F$130)</f>
        <v>0</v>
      </c>
      <c r="R24" s="376">
        <f>SUMIF('续 '!$BI$8:$BI$198,"基础设施"&amp;$B24,'续 '!$G$8:$G$198)+SUMIF(竣!$BJ$26:$BJ$130,"基础设施"&amp;$B24,竣!$G$26:$G$130)</f>
        <v>0</v>
      </c>
      <c r="S24" s="376">
        <f>SUMIF(开!$BN$8:$BN$213,"基础设施"&amp;$B24,开!$L$8:$L$213)+SUMIF('续 '!$BI$8:$BI$198,"基础设施"&amp;$B24,'续 '!$L$8:$L$198)+SUMIF(竣!$BJ$26:$BJ$130,"基础设施"&amp;$B24,竣!$L$26:$L$130)</f>
        <v>0</v>
      </c>
      <c r="T24" s="403" t="e">
        <f t="shared" si="3"/>
        <v>#DIV/0!</v>
      </c>
      <c r="U24" s="376">
        <f>SUMIF(开!$BN$8:$BN$213,"基础设施"&amp;$B24,开!$P$8:$P$213)+SUMIF('续 '!$BI$8:$BI$198,"基础设施"&amp;$B24,'续 '!$O$8:$O$198)+SUMIF(竣!$BJ$26:$BJ$130,"基础设施"&amp;$B24,竣!$O$26:$O$130)</f>
        <v>0</v>
      </c>
      <c r="V24" s="402" t="e">
        <f t="shared" si="7"/>
        <v>#DIV/0!</v>
      </c>
      <c r="W24" s="376">
        <f>COUNTIF(开!$BN$8:$BN$213,"民生设施"&amp;$B24)+COUNTIF('续 '!$BI$8:$BI$198,"民生设施"&amp;$B24)+COUNTIF(竣!$BJ$26:$BJ$130,"民生设施"&amp;$B24)</f>
        <v>0</v>
      </c>
      <c r="X24" s="376">
        <f>SUMIF(开!$BN$8:$BN$213,"民生设施"&amp;$B24,开!$F$8:$F$213)+SUMIF('续 '!$BI$8:$BI$198,"民生设施"&amp;$B24,'续 '!$F$8:$F$198)+SUMIF(竣!$BJ$26:$BJ$130,"民生设施"&amp;$B24,竣!$F$26:$F$130)</f>
        <v>0</v>
      </c>
      <c r="Y24" s="376">
        <f>SUMIF('续 '!$BI$8:$BI$198,"民生设施"&amp;$B24,'续 '!$G$8:$G$198)+SUMIF(竣!$BJ$26:$BJ$130,"民生设施"&amp;$B24,竣!$G$26:$G$130)</f>
        <v>0</v>
      </c>
      <c r="Z24" s="376">
        <f>SUMIF(开!$BN$8:$BN$213,"民生设施"&amp;$B24,开!$L$8:$L$213)+SUMIF('续 '!$BI$8:$BI$198,"民生设施"&amp;$B24,'续 '!$L$8:$L$198)+SUMIF(竣!$BJ$26:$BJ$130,"民生设施"&amp;$B24,竣!$L$26:$L$130)</f>
        <v>0</v>
      </c>
      <c r="AA24" s="403" t="e">
        <f t="shared" si="4"/>
        <v>#DIV/0!</v>
      </c>
      <c r="AB24" s="376">
        <f>SUMIF(开!$BN$8:$BN$213,"民生设施"&amp;$B24,开!$P$8:$P$213)+SUMIF('续 '!$BI$8:$BI$198,"民生设施"&amp;$B24,'续 '!$O$8:$O$198)+SUMIF(竣!$BJ$26:$BJ$130,"民生设施"&amp;$B24,竣!$O$26:$O$130)</f>
        <v>0</v>
      </c>
      <c r="AC24" s="402" t="e">
        <f t="shared" si="8"/>
        <v>#DIV/0!</v>
      </c>
    </row>
    <row r="25" s="334" customFormat="1" ht="30" customHeight="1" spans="1:29">
      <c r="A25" s="374">
        <v>13</v>
      </c>
      <c r="B25" s="375" t="s">
        <v>1144</v>
      </c>
      <c r="C25" s="376">
        <f t="shared" si="18"/>
        <v>1</v>
      </c>
      <c r="D25" s="384">
        <f t="shared" si="19"/>
        <v>86000</v>
      </c>
      <c r="E25" s="384">
        <f t="shared" si="20"/>
        <v>15000</v>
      </c>
      <c r="F25" s="384">
        <f t="shared" si="21"/>
        <v>40000</v>
      </c>
      <c r="G25" s="385">
        <f t="shared" si="22"/>
        <v>0</v>
      </c>
      <c r="H25" s="371">
        <f t="shared" si="1"/>
        <v>0</v>
      </c>
      <c r="I25" s="376">
        <f>COUNTIF(开!$BN$8:$BN$213,"产业"&amp;$B25)+COUNTIF('续 '!$BI$8:$BI$198,"产业"&amp;$B25)+COUNTIF(竣!$BJ$26:$BJ$130,"产业"&amp;$B25)</f>
        <v>0</v>
      </c>
      <c r="J25" s="376">
        <f>SUMIF(开!$BN$8:$BN$213,"产业"&amp;$B25,开!$F$8:$F$213)+SUMIF('续 '!$BI$8:$BI$198,"产业"&amp;$B25,'续 '!$F$8:$F$198)+SUMIF(竣!$BJ$26:$BJ$130,"产业"&amp;$B25,竣!$F$26:$F$130)</f>
        <v>0</v>
      </c>
      <c r="K25" s="376">
        <f>SUMIF('续 '!$BI$8:$BI$198,"产业"&amp;$B25,'续 '!$G$8:$G$198)+SUMIF(竣!$BJ$26:$BJ$130,"产业"&amp;$B25,竣!$G$26:$G$130)</f>
        <v>0</v>
      </c>
      <c r="L25" s="376">
        <f>SUMIF(开!$BN$8:$BN$213,"产业"&amp;$B25,开!$L$8:$L$213)+SUMIF('续 '!$BI$8:$BI$198,"产业"&amp;$B25,'续 '!$L$8:$L$198)+SUMIF(竣!$BJ$26:$BJ$130,"产业"&amp;$B25,竣!$L$26:$L$130)</f>
        <v>0</v>
      </c>
      <c r="M25" s="403">
        <f t="shared" si="2"/>
        <v>0</v>
      </c>
      <c r="N25" s="376">
        <f>SUMIF(开!$BN$8:$BN$213,"产业"&amp;$B25,开!$P$8:$P$213)+SUMIF('续 '!$BI$8:$BI$198,"产业"&amp;$B25,'续 '!$O$8:$O$198)+SUMIF(竣!$BJ$26:$BJ$130,"产业"&amp;$B25,竣!$O$26:$O$130)</f>
        <v>0</v>
      </c>
      <c r="O25" s="402" t="e">
        <f t="shared" si="6"/>
        <v>#DIV/0!</v>
      </c>
      <c r="P25" s="376">
        <f>COUNTIF(开!$BN$8:$BN$213,"基础设施"&amp;$B25)+COUNTIF('续 '!$BI$8:$BI$198,"基础设施"&amp;$B25)+COUNTIF(竣!$BJ$26:$BJ$130,"基础设施"&amp;$B25)</f>
        <v>1</v>
      </c>
      <c r="Q25" s="376">
        <f>SUMIF(开!$BN$8:$BN$213,"基础设施"&amp;$B25,开!$F$8:$F$213)+SUMIF('续 '!$BI$8:$BI$198,"基础设施"&amp;$B25,'续 '!$F$8:$F$198)+SUMIF(竣!$BJ$26:$BJ$130,"基础设施"&amp;$B25,竣!$F$26:$F$130)</f>
        <v>86000</v>
      </c>
      <c r="R25" s="376">
        <f>SUMIF('续 '!$BI$8:$BI$198,"基础设施"&amp;$B25,'续 '!$G$8:$G$198)+SUMIF(竣!$BJ$26:$BJ$130,"基础设施"&amp;$B25,竣!$G$26:$G$130)</f>
        <v>15000</v>
      </c>
      <c r="S25" s="376">
        <f>SUMIF(开!$BN$8:$BN$213,"基础设施"&amp;$B25,开!$L$8:$L$213)+SUMIF('续 '!$BI$8:$BI$198,"基础设施"&amp;$B25,'续 '!$L$8:$L$198)+SUMIF(竣!$BJ$26:$BJ$130,"基础设施"&amp;$B25,竣!$L$26:$L$130)</f>
        <v>40000</v>
      </c>
      <c r="T25" s="403">
        <f t="shared" si="3"/>
        <v>1</v>
      </c>
      <c r="U25" s="376">
        <f>SUMIF(开!$BN$8:$BN$213,"基础设施"&amp;$B25,开!$P$8:$P$213)+SUMIF('续 '!$BI$8:$BI$198,"基础设施"&amp;$B25,'续 '!$O$8:$O$198)+SUMIF(竣!$BJ$26:$BJ$130,"基础设施"&amp;$B25,竣!$O$26:$O$130)</f>
        <v>0</v>
      </c>
      <c r="V25" s="402">
        <f t="shared" si="7"/>
        <v>0</v>
      </c>
      <c r="W25" s="376">
        <f>COUNTIF(开!$BN$8:$BN$213,"民生设施"&amp;$B25)+COUNTIF('续 '!$BI$8:$BI$198,"民生设施"&amp;$B25)+COUNTIF(竣!$BJ$26:$BJ$130,"民生设施"&amp;$B25)</f>
        <v>0</v>
      </c>
      <c r="X25" s="376">
        <f>SUMIF(开!$BN$8:$BN$213,"民生设施"&amp;$B25,开!$F$8:$F$213)+SUMIF('续 '!$BI$8:$BI$198,"民生设施"&amp;$B25,'续 '!$F$8:$F$198)+SUMIF(竣!$BJ$26:$BJ$130,"民生设施"&amp;$B25,竣!$F$26:$F$130)</f>
        <v>0</v>
      </c>
      <c r="Y25" s="376">
        <f>SUMIF('续 '!$BI$8:$BI$198,"民生设施"&amp;$B25,'续 '!$G$8:$G$198)+SUMIF(竣!$BJ$26:$BJ$130,"民生设施"&amp;$B25,竣!$G$26:$G$130)</f>
        <v>0</v>
      </c>
      <c r="Z25" s="376">
        <f>SUMIF(开!$BN$8:$BN$213,"民生设施"&amp;$B25,开!$L$8:$L$213)+SUMIF('续 '!$BI$8:$BI$198,"民生设施"&amp;$B25,'续 '!$L$8:$L$198)+SUMIF(竣!$BJ$26:$BJ$130,"民生设施"&amp;$B25,竣!$L$26:$L$130)</f>
        <v>0</v>
      </c>
      <c r="AA25" s="403">
        <f t="shared" si="4"/>
        <v>0</v>
      </c>
      <c r="AB25" s="376">
        <f>SUMIF(开!$BN$8:$BN$213,"民生设施"&amp;$B25,开!$P$8:$P$213)+SUMIF('续 '!$BI$8:$BI$198,"民生设施"&amp;$B25,'续 '!$O$8:$O$198)+SUMIF(竣!$BJ$26:$BJ$130,"民生设施"&amp;$B25,竣!$O$26:$O$130)</f>
        <v>0</v>
      </c>
      <c r="AC25" s="402" t="e">
        <f t="shared" si="8"/>
        <v>#DIV/0!</v>
      </c>
    </row>
    <row r="26" s="334" customFormat="1" ht="39.6" customHeight="1" spans="1:29">
      <c r="A26" s="374"/>
      <c r="B26" s="375" t="s">
        <v>2756</v>
      </c>
      <c r="C26" s="376">
        <f t="shared" si="18"/>
        <v>0</v>
      </c>
      <c r="D26" s="384">
        <f t="shared" si="19"/>
        <v>0</v>
      </c>
      <c r="E26" s="384">
        <f t="shared" si="20"/>
        <v>0</v>
      </c>
      <c r="F26" s="384">
        <f t="shared" si="21"/>
        <v>0</v>
      </c>
      <c r="G26" s="385">
        <f t="shared" si="22"/>
        <v>0</v>
      </c>
      <c r="H26" s="371" t="e">
        <f t="shared" si="1"/>
        <v>#DIV/0!</v>
      </c>
      <c r="I26" s="376">
        <f>COUNTIF(开!$BN$8:$BN$213,"产业"&amp;$B26)+COUNTIF('续 '!$BI$8:$BI$198,"产业"&amp;$B26)+COUNTIF(竣!$BJ$26:$BJ$130,"产业"&amp;$B26)</f>
        <v>0</v>
      </c>
      <c r="J26" s="376">
        <f>SUMIF(开!$BN$8:$BN$213,"产业"&amp;$B26,开!$F$8:$F$213)+SUMIF('续 '!$BI$8:$BI$198,"产业"&amp;$B26,'续 '!$F$8:$F$198)+SUMIF(竣!$BJ$26:$BJ$130,"产业"&amp;$B26,竣!$F$26:$F$130)</f>
        <v>0</v>
      </c>
      <c r="K26" s="376">
        <f>SUMIF('续 '!$BI$8:$BI$198,"产业"&amp;$B26,'续 '!$G$8:$G$198)+SUMIF(竣!$BJ$26:$BJ$130,"产业"&amp;$B26,竣!$G$26:$G$130)</f>
        <v>0</v>
      </c>
      <c r="L26" s="376">
        <f>SUMIF(开!$BN$8:$BN$213,"产业"&amp;$B26,开!$L$8:$L$213)+SUMIF('续 '!$BI$8:$BI$198,"产业"&amp;$B26,'续 '!$L$8:$L$198)+SUMIF(竣!$BJ$26:$BJ$130,"产业"&amp;$B26,竣!$L$26:$L$130)</f>
        <v>0</v>
      </c>
      <c r="M26" s="403" t="e">
        <f t="shared" si="2"/>
        <v>#DIV/0!</v>
      </c>
      <c r="N26" s="376">
        <f>SUMIF(开!$BN$8:$BN$213,"产业"&amp;$B26,开!$P$8:$P$213)+SUMIF('续 '!$BI$8:$BI$198,"产业"&amp;$B26,'续 '!$O$8:$O$198)+SUMIF(竣!$BJ$26:$BJ$130,"产业"&amp;$B26,竣!$O$26:$O$130)</f>
        <v>0</v>
      </c>
      <c r="O26" s="402" t="e">
        <f t="shared" si="6"/>
        <v>#DIV/0!</v>
      </c>
      <c r="P26" s="376">
        <f>COUNTIF(开!$BN$8:$BN$213,"基础设施"&amp;$B26)+COUNTIF('续 '!$BI$8:$BI$198,"基础设施"&amp;$B26)+COUNTIF(竣!$BJ$26:$BJ$130,"基础设施"&amp;$B26)</f>
        <v>0</v>
      </c>
      <c r="Q26" s="376">
        <f>SUMIF(开!$BN$8:$BN$213,"基础设施"&amp;$B26,开!$F$8:$F$213)+SUMIF('续 '!$BI$8:$BI$198,"基础设施"&amp;$B26,'续 '!$F$8:$F$198)+SUMIF(竣!$BJ$26:$BJ$130,"基础设施"&amp;$B26,竣!$F$26:$F$130)</f>
        <v>0</v>
      </c>
      <c r="R26" s="376">
        <f>SUMIF('续 '!$BI$8:$BI$198,"基础设施"&amp;$B26,'续 '!$G$8:$G$198)+SUMIF(竣!$BJ$26:$BJ$130,"基础设施"&amp;$B26,竣!$G$26:$G$130)</f>
        <v>0</v>
      </c>
      <c r="S26" s="376">
        <f>SUMIF(开!$BN$8:$BN$213,"基础设施"&amp;$B26,开!$L$8:$L$213)+SUMIF('续 '!$BI$8:$BI$198,"基础设施"&amp;$B26,'续 '!$L$8:$L$198)+SUMIF(竣!$BJ$26:$BJ$130,"基础设施"&amp;$B26,竣!$L$26:$L$130)</f>
        <v>0</v>
      </c>
      <c r="T26" s="403" t="e">
        <f t="shared" si="3"/>
        <v>#DIV/0!</v>
      </c>
      <c r="U26" s="376">
        <f>SUMIF(开!$BN$8:$BN$213,"基础设施"&amp;$B26,开!$P$8:$P$213)+SUMIF('续 '!$BI$8:$BI$198,"基础设施"&amp;$B26,'续 '!$O$8:$O$198)+SUMIF(竣!$BJ$26:$BJ$130,"基础设施"&amp;$B26,竣!$O$26:$O$130)</f>
        <v>0</v>
      </c>
      <c r="V26" s="402" t="e">
        <f t="shared" si="7"/>
        <v>#DIV/0!</v>
      </c>
      <c r="W26" s="376">
        <f>COUNTIF(开!$BN$8:$BN$213,"民生设施"&amp;$B26)+COUNTIF('续 '!$BI$8:$BI$198,"民生设施"&amp;$B26)+COUNTIF(竣!$BJ$26:$BJ$130,"民生设施"&amp;$B26)</f>
        <v>0</v>
      </c>
      <c r="X26" s="376">
        <f>SUMIF(开!$BN$8:$BN$213,"民生设施"&amp;$B26,开!$F$8:$F$213)+SUMIF('续 '!$BI$8:$BI$198,"民生设施"&amp;$B26,'续 '!$F$8:$F$198)+SUMIF(竣!$BJ$26:$BJ$130,"民生设施"&amp;$B26,竣!$F$26:$F$130)</f>
        <v>0</v>
      </c>
      <c r="Y26" s="376">
        <f>SUMIF('续 '!$BI$8:$BI$198,"民生设施"&amp;$B26,'续 '!$G$8:$G$198)+SUMIF(竣!$BJ$26:$BJ$130,"民生设施"&amp;$B26,竣!$G$26:$G$130)</f>
        <v>0</v>
      </c>
      <c r="Z26" s="376">
        <f>SUMIF(开!$BN$8:$BN$213,"民生设施"&amp;$B26,开!$L$8:$L$213)+SUMIF('续 '!$BI$8:$BI$198,"民生设施"&amp;$B26,'续 '!$L$8:$L$198)+SUMIF(竣!$BJ$26:$BJ$130,"民生设施"&amp;$B26,竣!$L$26:$L$130)</f>
        <v>0</v>
      </c>
      <c r="AA26" s="403" t="e">
        <f t="shared" si="4"/>
        <v>#DIV/0!</v>
      </c>
      <c r="AB26" s="376">
        <f>SUMIF(开!$BN$8:$BN$213,"民生设施"&amp;$B26,开!$P$8:$P$213)+SUMIF('续 '!$BI$8:$BI$198,"民生设施"&amp;$B26,'续 '!$O$8:$O$198)+SUMIF(竣!$BJ$26:$BJ$130,"民生设施"&amp;$B26,竣!$O$26:$O$130)</f>
        <v>0</v>
      </c>
      <c r="AC26" s="402" t="e">
        <f t="shared" si="8"/>
        <v>#DIV/0!</v>
      </c>
    </row>
    <row r="27" s="334" customFormat="1" ht="36.6" customHeight="1" spans="1:29">
      <c r="A27" s="374">
        <v>14</v>
      </c>
      <c r="B27" s="375" t="s">
        <v>88</v>
      </c>
      <c r="C27" s="376">
        <f t="shared" si="18"/>
        <v>3</v>
      </c>
      <c r="D27" s="384">
        <f t="shared" si="19"/>
        <v>5580000</v>
      </c>
      <c r="E27" s="384">
        <f t="shared" si="20"/>
        <v>0</v>
      </c>
      <c r="F27" s="384">
        <f t="shared" si="21"/>
        <v>90000</v>
      </c>
      <c r="G27" s="385">
        <f t="shared" si="22"/>
        <v>0</v>
      </c>
      <c r="H27" s="371">
        <f t="shared" si="1"/>
        <v>0</v>
      </c>
      <c r="I27" s="376">
        <f>COUNTIF(开!$BN$8:$BN$213,"产业"&amp;$B27)+COUNTIF('续 '!$BI$8:$BI$198,"产业"&amp;$B27)+COUNTIF(竣!$BJ$26:$BJ$130,"产业"&amp;$B27)</f>
        <v>3</v>
      </c>
      <c r="J27" s="376">
        <f>SUMIF(开!$BN$8:$BN$213,"产业"&amp;$B27,开!$F$8:$F$213)+SUMIF('续 '!$BI$8:$BI$198,"产业"&amp;$B27,'续 '!$F$8:$F$198)+SUMIF(竣!$BJ$26:$BJ$130,"产业"&amp;$B27,竣!$F$26:$F$130)</f>
        <v>5580000</v>
      </c>
      <c r="K27" s="376">
        <f>SUMIF('续 '!$BI$8:$BI$198,"产业"&amp;$B27,'续 '!$G$8:$G$198)+SUMIF(竣!$BJ$26:$BJ$130,"产业"&amp;$B27,竣!$G$26:$G$130)</f>
        <v>0</v>
      </c>
      <c r="L27" s="376">
        <f>SUMIF(开!$BN$8:$BN$213,"产业"&amp;$B27,开!$L$8:$L$213)+SUMIF('续 '!$BI$8:$BI$198,"产业"&amp;$B27,'续 '!$L$8:$L$198)+SUMIF(竣!$BJ$26:$BJ$130,"产业"&amp;$B27,竣!$L$26:$L$130)</f>
        <v>90000</v>
      </c>
      <c r="M27" s="403">
        <f t="shared" si="2"/>
        <v>1</v>
      </c>
      <c r="N27" s="376">
        <f>SUMIF(开!$BN$8:$BN$213,"产业"&amp;$B27,开!$P$8:$P$213)+SUMIF('续 '!$BI$8:$BI$198,"产业"&amp;$B27,'续 '!$O$8:$O$198)+SUMIF(竣!$BJ$26:$BJ$130,"产业"&amp;$B27,竣!$O$26:$O$130)</f>
        <v>0</v>
      </c>
      <c r="O27" s="402">
        <f t="shared" si="6"/>
        <v>0</v>
      </c>
      <c r="P27" s="376">
        <f>COUNTIF(开!$BN$8:$BN$213,"基础设施"&amp;$B27)+COUNTIF('续 '!$BI$8:$BI$198,"基础设施"&amp;$B27)+COUNTIF(竣!$BJ$26:$BJ$130,"基础设施"&amp;$B27)</f>
        <v>0</v>
      </c>
      <c r="Q27" s="376">
        <f>SUMIF(开!$BN$8:$BN$213,"基础设施"&amp;$B27,开!$F$8:$F$213)+SUMIF('续 '!$BI$8:$BI$198,"基础设施"&amp;$B27,'续 '!$F$8:$F$198)+SUMIF(竣!$BJ$26:$BJ$130,"基础设施"&amp;$B27,竣!$F$26:$F$130)</f>
        <v>0</v>
      </c>
      <c r="R27" s="376">
        <f>SUMIF('续 '!$BI$8:$BI$198,"基础设施"&amp;$B27,'续 '!$G$8:$G$198)+SUMIF(竣!$BJ$26:$BJ$130,"基础设施"&amp;$B27,竣!$G$26:$G$130)</f>
        <v>0</v>
      </c>
      <c r="S27" s="376">
        <f>SUMIF(开!$BN$8:$BN$213,"基础设施"&amp;$B27,开!$L$8:$L$213)+SUMIF('续 '!$BI$8:$BI$198,"基础设施"&amp;$B27,'续 '!$L$8:$L$198)+SUMIF(竣!$BJ$26:$BJ$130,"基础设施"&amp;$B27,竣!$L$26:$L$130)</f>
        <v>0</v>
      </c>
      <c r="T27" s="403">
        <f t="shared" si="3"/>
        <v>0</v>
      </c>
      <c r="U27" s="376">
        <f>SUMIF(开!$BN$8:$BN$213,"基础设施"&amp;$B27,开!$P$8:$P$213)+SUMIF('续 '!$BI$8:$BI$198,"基础设施"&amp;$B27,'续 '!$O$8:$O$198)+SUMIF(竣!$BJ$26:$BJ$130,"基础设施"&amp;$B27,竣!$O$26:$O$130)</f>
        <v>0</v>
      </c>
      <c r="V27" s="402" t="e">
        <f t="shared" si="7"/>
        <v>#DIV/0!</v>
      </c>
      <c r="W27" s="376">
        <f>COUNTIF(开!$BN$8:$BN$213,"民生设施"&amp;$B27)+COUNTIF('续 '!$BI$8:$BI$198,"民生设施"&amp;$B27)+COUNTIF(竣!$BJ$26:$BJ$130,"民生设施"&amp;$B27)</f>
        <v>0</v>
      </c>
      <c r="X27" s="376">
        <f>SUMIF(开!$BN$8:$BN$213,"民生设施"&amp;$B27,开!$F$8:$F$213)+SUMIF('续 '!$BI$8:$BI$198,"民生设施"&amp;$B27,'续 '!$F$8:$F$198)+SUMIF(竣!$BJ$26:$BJ$130,"民生设施"&amp;$B27,竣!$F$26:$F$130)</f>
        <v>0</v>
      </c>
      <c r="Y27" s="376">
        <f>SUMIF('续 '!$BI$8:$BI$198,"民生设施"&amp;$B27,'续 '!$G$8:$G$198)+SUMIF(竣!$BJ$26:$BJ$130,"民生设施"&amp;$B27,竣!$G$26:$G$130)</f>
        <v>0</v>
      </c>
      <c r="Z27" s="376">
        <f>SUMIF(开!$BN$8:$BN$213,"民生设施"&amp;$B27,开!$L$8:$L$213)+SUMIF('续 '!$BI$8:$BI$198,"民生设施"&amp;$B27,'续 '!$L$8:$L$198)+SUMIF(竣!$BJ$26:$BJ$130,"民生设施"&amp;$B27,竣!$L$26:$L$130)</f>
        <v>0</v>
      </c>
      <c r="AA27" s="403">
        <f t="shared" si="4"/>
        <v>0</v>
      </c>
      <c r="AB27" s="376">
        <f>SUMIF(开!$BN$8:$BN$213,"民生设施"&amp;$B27,开!$P$8:$P$213)+SUMIF('续 '!$BI$8:$BI$198,"民生设施"&amp;$B27,'续 '!$O$8:$O$198)+SUMIF(竣!$BJ$26:$BJ$130,"民生设施"&amp;$B27,竣!$O$26:$O$130)</f>
        <v>0</v>
      </c>
      <c r="AC27" s="402" t="e">
        <f t="shared" si="8"/>
        <v>#DIV/0!</v>
      </c>
    </row>
    <row r="28" s="334" customFormat="1" ht="42.6" customHeight="1" spans="1:29">
      <c r="A28" s="374"/>
      <c r="B28" s="375" t="s">
        <v>2757</v>
      </c>
      <c r="C28" s="376">
        <f t="shared" si="18"/>
        <v>0</v>
      </c>
      <c r="D28" s="384">
        <f t="shared" si="19"/>
        <v>0</v>
      </c>
      <c r="E28" s="384">
        <f t="shared" si="20"/>
        <v>0</v>
      </c>
      <c r="F28" s="384">
        <f t="shared" si="21"/>
        <v>0</v>
      </c>
      <c r="G28" s="385">
        <f t="shared" si="22"/>
        <v>0</v>
      </c>
      <c r="H28" s="371" t="e">
        <f t="shared" si="1"/>
        <v>#DIV/0!</v>
      </c>
      <c r="I28" s="376">
        <f>COUNTIF(开!$BN$8:$BN$213,"产业"&amp;$B28)+COUNTIF('续 '!$BI$8:$BI$198,"产业"&amp;$B28)+COUNTIF(竣!$BJ$26:$BJ$130,"产业"&amp;$B28)</f>
        <v>0</v>
      </c>
      <c r="J28" s="376">
        <f>SUMIF(开!$BN$8:$BN$213,"产业"&amp;$B28,开!$F$8:$F$213)+SUMIF('续 '!$BI$8:$BI$198,"产业"&amp;$B28,'续 '!$F$8:$F$198)+SUMIF(竣!$BJ$26:$BJ$130,"产业"&amp;$B28,竣!$F$26:$F$130)</f>
        <v>0</v>
      </c>
      <c r="K28" s="376">
        <f>SUMIF('续 '!$BI$8:$BI$198,"产业"&amp;$B28,'续 '!$G$8:$G$198)+SUMIF(竣!$BJ$26:$BJ$130,"产业"&amp;$B28,竣!$G$26:$G$130)</f>
        <v>0</v>
      </c>
      <c r="L28" s="376">
        <f>SUMIF(开!$BN$8:$BN$213,"产业"&amp;$B28,开!$L$8:$L$213)+SUMIF('续 '!$BI$8:$BI$198,"产业"&amp;$B28,'续 '!$L$8:$L$198)+SUMIF(竣!$BJ$26:$BJ$130,"产业"&amp;$B28,竣!$L$26:$L$130)</f>
        <v>0</v>
      </c>
      <c r="M28" s="403" t="e">
        <f t="shared" si="2"/>
        <v>#DIV/0!</v>
      </c>
      <c r="N28" s="376">
        <f>SUMIF(开!$BN$8:$BN$213,"产业"&amp;$B28,开!$P$8:$P$213)+SUMIF('续 '!$BI$8:$BI$198,"产业"&amp;$B28,'续 '!$O$8:$O$198)+SUMIF(竣!$BJ$26:$BJ$130,"产业"&amp;$B28,竣!$O$26:$O$130)</f>
        <v>0</v>
      </c>
      <c r="O28" s="402" t="e">
        <f t="shared" si="6"/>
        <v>#DIV/0!</v>
      </c>
      <c r="P28" s="376">
        <f>COUNTIF(开!$BN$8:$BN$213,"基础设施"&amp;$B28)+COUNTIF('续 '!$BI$8:$BI$198,"基础设施"&amp;$B28)+COUNTIF(竣!$BJ$26:$BJ$130,"基础设施"&amp;$B28)</f>
        <v>0</v>
      </c>
      <c r="Q28" s="376">
        <f>SUMIF(开!$BN$8:$BN$213,"基础设施"&amp;$B28,开!$F$8:$F$213)+SUMIF('续 '!$BI$8:$BI$198,"基础设施"&amp;$B28,'续 '!$F$8:$F$198)+SUMIF(竣!$BJ$26:$BJ$130,"基础设施"&amp;$B28,竣!$F$26:$F$130)</f>
        <v>0</v>
      </c>
      <c r="R28" s="376">
        <f>SUMIF('续 '!$BI$8:$BI$198,"基础设施"&amp;$B28,'续 '!$G$8:$G$198)+SUMIF(竣!$BJ$26:$BJ$130,"基础设施"&amp;$B28,竣!$G$26:$G$130)</f>
        <v>0</v>
      </c>
      <c r="S28" s="376">
        <f>SUMIF(开!$BN$8:$BN$213,"基础设施"&amp;$B28,开!$L$8:$L$213)+SUMIF('续 '!$BI$8:$BI$198,"基础设施"&amp;$B28,'续 '!$L$8:$L$198)+SUMIF(竣!$BJ$26:$BJ$130,"基础设施"&amp;$B28,竣!$L$26:$L$130)</f>
        <v>0</v>
      </c>
      <c r="T28" s="403" t="e">
        <f t="shared" si="3"/>
        <v>#DIV/0!</v>
      </c>
      <c r="U28" s="376">
        <f>SUMIF(开!$BN$8:$BN$213,"基础设施"&amp;$B28,开!$P$8:$P$213)+SUMIF('续 '!$BI$8:$BI$198,"基础设施"&amp;$B28,'续 '!$O$8:$O$198)+SUMIF(竣!$BJ$26:$BJ$130,"基础设施"&amp;$B28,竣!$O$26:$O$130)</f>
        <v>0</v>
      </c>
      <c r="V28" s="402" t="e">
        <f t="shared" si="7"/>
        <v>#DIV/0!</v>
      </c>
      <c r="W28" s="376">
        <f>COUNTIF(开!$BN$8:$BN$213,"民生设施"&amp;$B28)+COUNTIF('续 '!$BI$8:$BI$198,"民生设施"&amp;$B28)+COUNTIF(竣!$BJ$26:$BJ$130,"民生设施"&amp;$B28)</f>
        <v>0</v>
      </c>
      <c r="X28" s="376">
        <f>SUMIF(开!$BN$8:$BN$213,"民生设施"&amp;$B28,开!$F$8:$F$213)+SUMIF('续 '!$BI$8:$BI$198,"民生设施"&amp;$B28,'续 '!$F$8:$F$198)+SUMIF(竣!$BJ$26:$BJ$130,"民生设施"&amp;$B28,竣!$F$26:$F$130)</f>
        <v>0</v>
      </c>
      <c r="Y28" s="376">
        <f>SUMIF('续 '!$BI$8:$BI$198,"民生设施"&amp;$B28,'续 '!$G$8:$G$198)+SUMIF(竣!$BJ$26:$BJ$130,"民生设施"&amp;$B28,竣!$G$26:$G$130)</f>
        <v>0</v>
      </c>
      <c r="Z28" s="376">
        <f>SUMIF(开!$BN$8:$BN$213,"民生设施"&amp;$B28,开!$L$8:$L$213)+SUMIF('续 '!$BI$8:$BI$198,"民生设施"&amp;$B28,'续 '!$L$8:$L$198)+SUMIF(竣!$BJ$26:$BJ$130,"民生设施"&amp;$B28,竣!$L$26:$L$130)</f>
        <v>0</v>
      </c>
      <c r="AA28" s="403" t="e">
        <f t="shared" si="4"/>
        <v>#DIV/0!</v>
      </c>
      <c r="AB28" s="376">
        <f>SUMIF(开!$BN$8:$BN$213,"民生设施"&amp;$B28,开!$P$8:$P$213)+SUMIF('续 '!$BI$8:$BI$198,"民生设施"&amp;$B28,'续 '!$O$8:$O$198)+SUMIF(竣!$BJ$26:$BJ$130,"民生设施"&amp;$B28,竣!$O$26:$O$130)</f>
        <v>0</v>
      </c>
      <c r="AC28" s="402" t="e">
        <f t="shared" si="8"/>
        <v>#DIV/0!</v>
      </c>
    </row>
    <row r="29" s="334" customFormat="1" ht="37.9" customHeight="1" spans="1:29">
      <c r="A29" s="374"/>
      <c r="B29" s="375" t="s">
        <v>2758</v>
      </c>
      <c r="C29" s="376">
        <f t="shared" si="18"/>
        <v>0</v>
      </c>
      <c r="D29" s="384">
        <f t="shared" si="19"/>
        <v>0</v>
      </c>
      <c r="E29" s="384">
        <f t="shared" si="20"/>
        <v>0</v>
      </c>
      <c r="F29" s="384">
        <f t="shared" si="21"/>
        <v>0</v>
      </c>
      <c r="G29" s="385">
        <f t="shared" si="22"/>
        <v>0</v>
      </c>
      <c r="H29" s="371" t="e">
        <f t="shared" si="1"/>
        <v>#DIV/0!</v>
      </c>
      <c r="I29" s="376">
        <f>COUNTIF(开!$BN$8:$BN$213,"产业"&amp;$B29)+COUNTIF('续 '!$BI$8:$BI$198,"产业"&amp;$B29)+COUNTIF(竣!$BJ$26:$BJ$130,"产业"&amp;$B29)</f>
        <v>0</v>
      </c>
      <c r="J29" s="376">
        <f>SUMIF(开!$BN$8:$BN$213,"产业"&amp;$B29,开!$F$8:$F$213)+SUMIF('续 '!$BI$8:$BI$198,"产业"&amp;$B29,'续 '!$F$8:$F$198)+SUMIF(竣!$BJ$26:$BJ$130,"产业"&amp;$B29,竣!$F$26:$F$130)</f>
        <v>0</v>
      </c>
      <c r="K29" s="376">
        <f>SUMIF('续 '!$BI$8:$BI$198,"产业"&amp;$B29,'续 '!$G$8:$G$198)+SUMIF(竣!$BJ$26:$BJ$130,"产业"&amp;$B29,竣!$G$26:$G$130)</f>
        <v>0</v>
      </c>
      <c r="L29" s="376">
        <f>SUMIF(开!$BN$8:$BN$213,"产业"&amp;$B29,开!$L$8:$L$213)+SUMIF('续 '!$BI$8:$BI$198,"产业"&amp;$B29,'续 '!$L$8:$L$198)+SUMIF(竣!$BJ$26:$BJ$130,"产业"&amp;$B29,竣!$L$26:$L$130)</f>
        <v>0</v>
      </c>
      <c r="M29" s="403" t="e">
        <f t="shared" si="2"/>
        <v>#DIV/0!</v>
      </c>
      <c r="N29" s="376">
        <f>SUMIF(开!$BN$8:$BN$213,"产业"&amp;$B29,开!$P$8:$P$213)+SUMIF('续 '!$BI$8:$BI$198,"产业"&amp;$B29,'续 '!$O$8:$O$198)+SUMIF(竣!$BJ$26:$BJ$130,"产业"&amp;$B29,竣!$O$26:$O$130)</f>
        <v>0</v>
      </c>
      <c r="O29" s="402" t="e">
        <f t="shared" si="6"/>
        <v>#DIV/0!</v>
      </c>
      <c r="P29" s="376">
        <f>COUNTIF(开!$BN$8:$BN$213,"基础设施"&amp;$B29)+COUNTIF('续 '!$BI$8:$BI$198,"基础设施"&amp;$B29)+COUNTIF(竣!$BJ$26:$BJ$130,"基础设施"&amp;$B29)</f>
        <v>0</v>
      </c>
      <c r="Q29" s="376">
        <f>SUMIF(开!$BN$8:$BN$213,"基础设施"&amp;$B29,开!$F$8:$F$213)+SUMIF('续 '!$BI$8:$BI$198,"基础设施"&amp;$B29,'续 '!$F$8:$F$198)+SUMIF(竣!$BJ$26:$BJ$130,"基础设施"&amp;$B29,竣!$F$26:$F$130)</f>
        <v>0</v>
      </c>
      <c r="R29" s="376">
        <f>SUMIF('续 '!$BI$8:$BI$198,"基础设施"&amp;$B29,'续 '!$G$8:$G$198)+SUMIF(竣!$BJ$26:$BJ$130,"基础设施"&amp;$B29,竣!$G$26:$G$130)</f>
        <v>0</v>
      </c>
      <c r="S29" s="376">
        <f>SUMIF(开!$BN$8:$BN$213,"基础设施"&amp;$B29,开!$L$8:$L$213)+SUMIF('续 '!$BI$8:$BI$198,"基础设施"&amp;$B29,'续 '!$L$8:$L$198)+SUMIF(竣!$BJ$26:$BJ$130,"基础设施"&amp;$B29,竣!$L$26:$L$130)</f>
        <v>0</v>
      </c>
      <c r="T29" s="403" t="e">
        <f t="shared" si="3"/>
        <v>#DIV/0!</v>
      </c>
      <c r="U29" s="376">
        <f>SUMIF(开!$BN$8:$BN$213,"基础设施"&amp;$B29,开!$P$8:$P$213)+SUMIF('续 '!$BI$8:$BI$198,"基础设施"&amp;$B29,'续 '!$O$8:$O$198)+SUMIF(竣!$BJ$26:$BJ$130,"基础设施"&amp;$B29,竣!$O$26:$O$130)</f>
        <v>0</v>
      </c>
      <c r="V29" s="402" t="e">
        <f t="shared" si="7"/>
        <v>#DIV/0!</v>
      </c>
      <c r="W29" s="376">
        <f>COUNTIF(开!$BN$8:$BN$213,"民生设施"&amp;$B29)+COUNTIF('续 '!$BI$8:$BI$198,"民生设施"&amp;$B29)+COUNTIF(竣!$BJ$26:$BJ$130,"民生设施"&amp;$B29)</f>
        <v>0</v>
      </c>
      <c r="X29" s="376">
        <f>SUMIF(开!$BN$8:$BN$213,"民生设施"&amp;$B29,开!$F$8:$F$213)+SUMIF('续 '!$BI$8:$BI$198,"民生设施"&amp;$B29,'续 '!$F$8:$F$198)+SUMIF(竣!$BJ$26:$BJ$130,"民生设施"&amp;$B29,竣!$F$26:$F$130)</f>
        <v>0</v>
      </c>
      <c r="Y29" s="376">
        <f>SUMIF('续 '!$BI$8:$BI$198,"民生设施"&amp;$B29,'续 '!$G$8:$G$198)+SUMIF(竣!$BJ$26:$BJ$130,"民生设施"&amp;$B29,竣!$G$26:$G$130)</f>
        <v>0</v>
      </c>
      <c r="Z29" s="376">
        <f>SUMIF(开!$BN$8:$BN$213,"民生设施"&amp;$B29,开!$L$8:$L$213)+SUMIF('续 '!$BI$8:$BI$198,"民生设施"&amp;$B29,'续 '!$L$8:$L$198)+SUMIF(竣!$BJ$26:$BJ$130,"民生设施"&amp;$B29,竣!$L$26:$L$130)</f>
        <v>0</v>
      </c>
      <c r="AA29" s="403" t="e">
        <f t="shared" si="4"/>
        <v>#DIV/0!</v>
      </c>
      <c r="AB29" s="376">
        <f>SUMIF(开!$BN$8:$BN$213,"民生设施"&amp;$B29,开!$P$8:$P$213)+SUMIF('续 '!$BI$8:$BI$198,"民生设施"&amp;$B29,'续 '!$O$8:$O$198)+SUMIF(竣!$BJ$26:$BJ$130,"民生设施"&amp;$B29,竣!$O$26:$O$130)</f>
        <v>0</v>
      </c>
      <c r="AC29" s="402" t="e">
        <f t="shared" si="8"/>
        <v>#DIV/0!</v>
      </c>
    </row>
    <row r="30" s="334" customFormat="1" ht="43.9" customHeight="1" spans="1:29">
      <c r="A30" s="374"/>
      <c r="B30" s="375" t="s">
        <v>2759</v>
      </c>
      <c r="C30" s="376">
        <f t="shared" si="18"/>
        <v>0</v>
      </c>
      <c r="D30" s="384">
        <f t="shared" si="19"/>
        <v>0</v>
      </c>
      <c r="E30" s="384">
        <f t="shared" si="20"/>
        <v>0</v>
      </c>
      <c r="F30" s="384">
        <f t="shared" si="21"/>
        <v>0</v>
      </c>
      <c r="G30" s="385">
        <f t="shared" si="22"/>
        <v>0</v>
      </c>
      <c r="H30" s="371" t="e">
        <f t="shared" si="1"/>
        <v>#DIV/0!</v>
      </c>
      <c r="I30" s="376">
        <f>COUNTIF(开!$BN$8:$BN$213,"产业"&amp;$B30)+COUNTIF('续 '!$BI$8:$BI$198,"产业"&amp;$B30)+COUNTIF(竣!$BJ$26:$BJ$130,"产业"&amp;$B30)</f>
        <v>0</v>
      </c>
      <c r="J30" s="376">
        <f>SUMIF(开!$BN$8:$BN$213,"产业"&amp;$B30,开!$F$8:$F$213)+SUMIF('续 '!$BI$8:$BI$198,"产业"&amp;$B30,'续 '!$F$8:$F$198)+SUMIF(竣!$BJ$26:$BJ$130,"产业"&amp;$B30,竣!$F$26:$F$130)</f>
        <v>0</v>
      </c>
      <c r="K30" s="376">
        <f>SUMIF('续 '!$BI$8:$BI$198,"产业"&amp;$B30,'续 '!$G$8:$G$198)+SUMIF(竣!$BJ$26:$BJ$130,"产业"&amp;$B30,竣!$G$26:$G$130)</f>
        <v>0</v>
      </c>
      <c r="L30" s="376">
        <f>SUMIF(开!$BN$8:$BN$213,"产业"&amp;$B30,开!$L$8:$L$213)+SUMIF('续 '!$BI$8:$BI$198,"产业"&amp;$B30,'续 '!$L$8:$L$198)+SUMIF(竣!$BJ$26:$BJ$130,"产业"&amp;$B30,竣!$L$26:$L$130)</f>
        <v>0</v>
      </c>
      <c r="M30" s="403" t="e">
        <f t="shared" si="2"/>
        <v>#DIV/0!</v>
      </c>
      <c r="N30" s="376">
        <f>SUMIF(开!$BN$8:$BN$213,"产业"&amp;$B30,开!$P$8:$P$213)+SUMIF('续 '!$BI$8:$BI$198,"产业"&amp;$B30,'续 '!$O$8:$O$198)+SUMIF(竣!$BJ$26:$BJ$130,"产业"&amp;$B30,竣!$O$26:$O$130)</f>
        <v>0</v>
      </c>
      <c r="O30" s="402" t="e">
        <f t="shared" si="6"/>
        <v>#DIV/0!</v>
      </c>
      <c r="P30" s="376">
        <f>COUNTIF(开!$BN$8:$BN$213,"基础设施"&amp;$B30)+COUNTIF('续 '!$BI$8:$BI$198,"基础设施"&amp;$B30)+COUNTIF(竣!$BJ$26:$BJ$130,"基础设施"&amp;$B30)</f>
        <v>0</v>
      </c>
      <c r="Q30" s="376">
        <f>SUMIF(开!$BN$8:$BN$213,"基础设施"&amp;$B30,开!$F$8:$F$213)+SUMIF('续 '!$BI$8:$BI$198,"基础设施"&amp;$B30,'续 '!$F$8:$F$198)+SUMIF(竣!$BJ$26:$BJ$130,"基础设施"&amp;$B30,竣!$F$26:$F$130)</f>
        <v>0</v>
      </c>
      <c r="R30" s="376">
        <f>SUMIF('续 '!$BI$8:$BI$198,"基础设施"&amp;$B30,'续 '!$G$8:$G$198)+SUMIF(竣!$BJ$26:$BJ$130,"基础设施"&amp;$B30,竣!$G$26:$G$130)</f>
        <v>0</v>
      </c>
      <c r="S30" s="376">
        <f>SUMIF(开!$BN$8:$BN$213,"基础设施"&amp;$B30,开!$L$8:$L$213)+SUMIF('续 '!$BI$8:$BI$198,"基础设施"&amp;$B30,'续 '!$L$8:$L$198)+SUMIF(竣!$BJ$26:$BJ$130,"基础设施"&amp;$B30,竣!$L$26:$L$130)</f>
        <v>0</v>
      </c>
      <c r="T30" s="403" t="e">
        <f t="shared" si="3"/>
        <v>#DIV/0!</v>
      </c>
      <c r="U30" s="376">
        <f>SUMIF(开!$BN$8:$BN$213,"基础设施"&amp;$B30,开!$P$8:$P$213)+SUMIF('续 '!$BI$8:$BI$198,"基础设施"&amp;$B30,'续 '!$O$8:$O$198)+SUMIF(竣!$BJ$26:$BJ$130,"基础设施"&amp;$B30,竣!$O$26:$O$130)</f>
        <v>0</v>
      </c>
      <c r="V30" s="402" t="e">
        <f t="shared" si="7"/>
        <v>#DIV/0!</v>
      </c>
      <c r="W30" s="376">
        <f>COUNTIF(开!$BN$8:$BN$213,"民生设施"&amp;$B30)+COUNTIF('续 '!$BI$8:$BI$198,"民生设施"&amp;$B30)+COUNTIF(竣!$BJ$26:$BJ$130,"民生设施"&amp;$B30)</f>
        <v>0</v>
      </c>
      <c r="X30" s="376">
        <f>SUMIF(开!$BN$8:$BN$213,"民生设施"&amp;$B30,开!$F$8:$F$213)+SUMIF('续 '!$BI$8:$BI$198,"民生设施"&amp;$B30,'续 '!$F$8:$F$198)+SUMIF(竣!$BJ$26:$BJ$130,"民生设施"&amp;$B30,竣!$F$26:$F$130)</f>
        <v>0</v>
      </c>
      <c r="Y30" s="376">
        <f>SUMIF('续 '!$BI$8:$BI$198,"民生设施"&amp;$B30,'续 '!$G$8:$G$198)+SUMIF(竣!$BJ$26:$BJ$130,"民生设施"&amp;$B30,竣!$G$26:$G$130)</f>
        <v>0</v>
      </c>
      <c r="Z30" s="376">
        <f>SUMIF(开!$BN$8:$BN$213,"民生设施"&amp;$B30,开!$L$8:$L$213)+SUMIF('续 '!$BI$8:$BI$198,"民生设施"&amp;$B30,'续 '!$L$8:$L$198)+SUMIF(竣!$BJ$26:$BJ$130,"民生设施"&amp;$B30,竣!$L$26:$L$130)</f>
        <v>0</v>
      </c>
      <c r="AA30" s="403" t="e">
        <f t="shared" si="4"/>
        <v>#DIV/0!</v>
      </c>
      <c r="AB30" s="376">
        <f>SUMIF(开!$BN$8:$BN$213,"民生设施"&amp;$B30,开!$P$8:$P$213)+SUMIF('续 '!$BI$8:$BI$198,"民生设施"&amp;$B30,'续 '!$O$8:$O$198)+SUMIF(竣!$BJ$26:$BJ$130,"民生设施"&amp;$B30,竣!$O$26:$O$130)</f>
        <v>0</v>
      </c>
      <c r="AC30" s="402" t="e">
        <f t="shared" si="8"/>
        <v>#DIV/0!</v>
      </c>
    </row>
    <row r="31" s="334" customFormat="1" ht="34.15" customHeight="1" spans="1:29">
      <c r="A31" s="374"/>
      <c r="B31" s="375" t="s">
        <v>2780</v>
      </c>
      <c r="C31" s="376">
        <f t="shared" si="18"/>
        <v>0</v>
      </c>
      <c r="D31" s="384">
        <f t="shared" si="19"/>
        <v>0</v>
      </c>
      <c r="E31" s="384">
        <f t="shared" si="20"/>
        <v>0</v>
      </c>
      <c r="F31" s="384">
        <f t="shared" si="21"/>
        <v>0</v>
      </c>
      <c r="G31" s="385">
        <f t="shared" si="22"/>
        <v>0</v>
      </c>
      <c r="H31" s="371" t="e">
        <f t="shared" si="1"/>
        <v>#DIV/0!</v>
      </c>
      <c r="I31" s="376">
        <f>COUNTIF(开!$BN$8:$BN$213,"产业"&amp;$B31)+COUNTIF('续 '!$BI$8:$BI$198,"产业"&amp;$B31)+COUNTIF(竣!$BJ$26:$BJ$130,"产业"&amp;$B31)</f>
        <v>0</v>
      </c>
      <c r="J31" s="376">
        <f>SUMIF(开!$BN$8:$BN$213,"产业"&amp;$B31,开!$F$8:$F$213)+SUMIF('续 '!$BI$8:$BI$198,"产业"&amp;$B31,'续 '!$F$8:$F$198)+SUMIF(竣!$BJ$26:$BJ$130,"产业"&amp;$B31,竣!$F$26:$F$130)</f>
        <v>0</v>
      </c>
      <c r="K31" s="376">
        <f>SUMIF('续 '!$BI$8:$BI$198,"产业"&amp;$B31,'续 '!$G$8:$G$198)+SUMIF(竣!$BJ$26:$BJ$130,"产业"&amp;$B31,竣!$G$26:$G$130)</f>
        <v>0</v>
      </c>
      <c r="L31" s="376">
        <f>SUMIF(开!$BN$8:$BN$213,"产业"&amp;$B31,开!$L$8:$L$213)+SUMIF('续 '!$BI$8:$BI$198,"产业"&amp;$B31,'续 '!$L$8:$L$198)+SUMIF(竣!$BJ$26:$BJ$130,"产业"&amp;$B31,竣!$L$26:$L$130)</f>
        <v>0</v>
      </c>
      <c r="M31" s="403" t="e">
        <f t="shared" si="2"/>
        <v>#DIV/0!</v>
      </c>
      <c r="N31" s="376">
        <f>SUMIF(开!$BN$8:$BN$213,"产业"&amp;$B31,开!$P$8:$P$213)+SUMIF('续 '!$BI$8:$BI$198,"产业"&amp;$B31,'续 '!$O$8:$O$198)+SUMIF(竣!$BJ$26:$BJ$130,"产业"&amp;$B31,竣!$O$26:$O$130)</f>
        <v>0</v>
      </c>
      <c r="O31" s="402" t="e">
        <f t="shared" si="6"/>
        <v>#DIV/0!</v>
      </c>
      <c r="P31" s="376">
        <f>COUNTIF(开!$BN$8:$BN$213,"基础设施"&amp;$B31)+COUNTIF('续 '!$BI$8:$BI$198,"基础设施"&amp;$B31)+COUNTIF(竣!$BJ$26:$BJ$130,"基础设施"&amp;$B31)</f>
        <v>0</v>
      </c>
      <c r="Q31" s="376">
        <f>SUMIF(开!$BN$8:$BN$213,"基础设施"&amp;$B31,开!$F$8:$F$213)+SUMIF('续 '!$BI$8:$BI$198,"基础设施"&amp;$B31,'续 '!$F$8:$F$198)+SUMIF(竣!$BJ$26:$BJ$130,"基础设施"&amp;$B31,竣!$F$26:$F$130)</f>
        <v>0</v>
      </c>
      <c r="R31" s="376">
        <f>SUMIF('续 '!$BI$8:$BI$198,"基础设施"&amp;$B31,'续 '!$G$8:$G$198)+SUMIF(竣!$BJ$26:$BJ$130,"基础设施"&amp;$B31,竣!$G$26:$G$130)</f>
        <v>0</v>
      </c>
      <c r="S31" s="376">
        <f>SUMIF(开!$BN$8:$BN$213,"基础设施"&amp;$B31,开!$L$8:$L$213)+SUMIF('续 '!$BI$8:$BI$198,"基础设施"&amp;$B31,'续 '!$L$8:$L$198)+SUMIF(竣!$BJ$26:$BJ$130,"基础设施"&amp;$B31,竣!$L$26:$L$130)</f>
        <v>0</v>
      </c>
      <c r="T31" s="403" t="e">
        <f t="shared" si="3"/>
        <v>#DIV/0!</v>
      </c>
      <c r="U31" s="376">
        <f>SUMIF(开!$BN$8:$BN$213,"基础设施"&amp;$B31,开!$P$8:$P$213)+SUMIF('续 '!$BI$8:$BI$198,"基础设施"&amp;$B31,'续 '!$O$8:$O$198)+SUMIF(竣!$BJ$26:$BJ$130,"基础设施"&amp;$B31,竣!$O$26:$O$130)</f>
        <v>0</v>
      </c>
      <c r="V31" s="402" t="e">
        <f t="shared" si="7"/>
        <v>#DIV/0!</v>
      </c>
      <c r="W31" s="376">
        <f>COUNTIF(开!$BN$8:$BN$213,"民生设施"&amp;$B31)+COUNTIF('续 '!$BI$8:$BI$198,"民生设施"&amp;$B31)+COUNTIF(竣!$BJ$26:$BJ$130,"民生设施"&amp;$B31)</f>
        <v>0</v>
      </c>
      <c r="X31" s="376">
        <f>SUMIF(开!$BN$8:$BN$213,"民生设施"&amp;$B31,开!$F$8:$F$213)+SUMIF('续 '!$BI$8:$BI$198,"民生设施"&amp;$B31,'续 '!$F$8:$F$198)+SUMIF(竣!$BJ$26:$BJ$130,"民生设施"&amp;$B31,竣!$F$26:$F$130)</f>
        <v>0</v>
      </c>
      <c r="Y31" s="376">
        <f>SUMIF('续 '!$BI$8:$BI$198,"民生设施"&amp;$B31,'续 '!$G$8:$G$198)+SUMIF(竣!$BJ$26:$BJ$130,"民生设施"&amp;$B31,竣!$G$26:$G$130)</f>
        <v>0</v>
      </c>
      <c r="Z31" s="376">
        <f>SUMIF(开!$BN$8:$BN$213,"民生设施"&amp;$B31,开!$L$8:$L$213)+SUMIF('续 '!$BI$8:$BI$198,"民生设施"&amp;$B31,'续 '!$L$8:$L$198)+SUMIF(竣!$BJ$26:$BJ$130,"民生设施"&amp;$B31,竣!$L$26:$L$130)</f>
        <v>0</v>
      </c>
      <c r="AA31" s="403" t="e">
        <f t="shared" si="4"/>
        <v>#DIV/0!</v>
      </c>
      <c r="AB31" s="376">
        <f>SUMIF(开!$BN$8:$BN$213,"民生设施"&amp;$B31,开!$P$8:$P$213)+SUMIF('续 '!$BI$8:$BI$198,"民生设施"&amp;$B31,'续 '!$O$8:$O$198)+SUMIF(竣!$BJ$26:$BJ$130,"民生设施"&amp;$B31,竣!$O$26:$O$130)</f>
        <v>0</v>
      </c>
      <c r="AC31" s="402" t="e">
        <f t="shared" si="8"/>
        <v>#DIV/0!</v>
      </c>
    </row>
    <row r="32" s="334" customFormat="1" ht="34.15" customHeight="1" spans="1:29">
      <c r="A32" s="374">
        <v>15</v>
      </c>
      <c r="B32" s="375" t="s">
        <v>1107</v>
      </c>
      <c r="C32" s="376">
        <f t="shared" ref="C32:F35" si="23">I32+P32+W32</f>
        <v>4</v>
      </c>
      <c r="D32" s="384">
        <f t="shared" si="23"/>
        <v>469854</v>
      </c>
      <c r="E32" s="384">
        <f t="shared" si="23"/>
        <v>169674</v>
      </c>
      <c r="F32" s="384">
        <f t="shared" si="23"/>
        <v>79369</v>
      </c>
      <c r="G32" s="385">
        <f t="shared" si="22"/>
        <v>0</v>
      </c>
      <c r="H32" s="371">
        <f t="shared" si="1"/>
        <v>0</v>
      </c>
      <c r="I32" s="376">
        <f>COUNTIF(开!$BN$8:$BN$213,"产业"&amp;$B32)+COUNTIF('续 '!$BI$8:$BI$198,"产业"&amp;$B32)+COUNTIF(竣!$BJ$26:$BJ$130,"产业"&amp;$B32)</f>
        <v>0</v>
      </c>
      <c r="J32" s="376">
        <f>SUMIF(开!$BN$8:$BN$213,"产业"&amp;$B32,开!$F$8:$F$213)+SUMIF('续 '!$BI$8:$BI$198,"产业"&amp;$B32,'续 '!$F$8:$F$198)+SUMIF(竣!$BJ$26:$BJ$130,"产业"&amp;$B32,竣!$F$26:$F$130)</f>
        <v>0</v>
      </c>
      <c r="K32" s="376">
        <f>SUMIF('续 '!$BI$8:$BI$198,"产业"&amp;$B32,'续 '!$G$8:$G$198)+SUMIF(竣!$BJ$26:$BJ$130,"产业"&amp;$B32,竣!$G$26:$G$130)</f>
        <v>0</v>
      </c>
      <c r="L32" s="376">
        <f>SUMIF(开!$BN$8:$BN$213,"产业"&amp;$B32,开!$L$8:$L$213)+SUMIF('续 '!$BI$8:$BI$198,"产业"&amp;$B32,'续 '!$L$8:$L$198)+SUMIF(竣!$BJ$26:$BJ$130,"产业"&amp;$B32,竣!$L$26:$L$130)</f>
        <v>0</v>
      </c>
      <c r="M32" s="403">
        <f t="shared" si="2"/>
        <v>0</v>
      </c>
      <c r="N32" s="376">
        <f>SUMIF(开!$BN$8:$BN$213,"产业"&amp;$B32,开!$P$8:$P$213)+SUMIF('续 '!$BI$8:$BI$198,"产业"&amp;$B32,'续 '!$O$8:$O$198)+SUMIF(竣!$BJ$26:$BJ$130,"产业"&amp;$B32,竣!$O$26:$O$130)</f>
        <v>0</v>
      </c>
      <c r="O32" s="402" t="e">
        <f t="shared" si="6"/>
        <v>#DIV/0!</v>
      </c>
      <c r="P32" s="376">
        <f>COUNTIF(开!$BN$8:$BN$213,"基础设施"&amp;$B32)+COUNTIF('续 '!$BI$8:$BI$198,"基础设施"&amp;$B32)+COUNTIF(竣!$BJ$26:$BJ$130,"基础设施"&amp;$B32)</f>
        <v>4</v>
      </c>
      <c r="Q32" s="376">
        <f>SUMIF(开!$BN$8:$BN$213,"基础设施"&amp;$B32,开!$F$8:$F$213)+SUMIF('续 '!$BI$8:$BI$198,"基础设施"&amp;$B32,'续 '!$F$8:$F$198)+SUMIF(竣!$BJ$26:$BJ$130,"基础设施"&amp;$B32,竣!$F$26:$F$130)</f>
        <v>469854</v>
      </c>
      <c r="R32" s="376">
        <f>SUMIF('续 '!$BI$8:$BI$198,"基础设施"&amp;$B32,'续 '!$G$8:$G$198)+SUMIF(竣!$BJ$26:$BJ$130,"基础设施"&amp;$B32,竣!$G$26:$G$130)</f>
        <v>169674</v>
      </c>
      <c r="S32" s="376">
        <f>SUMIF(开!$BN$8:$BN$213,"基础设施"&amp;$B32,开!$L$8:$L$213)+SUMIF('续 '!$BI$8:$BI$198,"基础设施"&amp;$B32,'续 '!$L$8:$L$198)+SUMIF(竣!$BJ$26:$BJ$130,"基础设施"&amp;$B32,竣!$L$26:$L$130)</f>
        <v>79369</v>
      </c>
      <c r="T32" s="403">
        <f t="shared" si="3"/>
        <v>1</v>
      </c>
      <c r="U32" s="376">
        <f>SUMIF(开!$BN$8:$BN$213,"基础设施"&amp;$B32,开!$P$8:$P$213)+SUMIF('续 '!$BI$8:$BI$198,"基础设施"&amp;$B32,'续 '!$O$8:$O$198)+SUMIF(竣!$BJ$26:$BJ$130,"基础设施"&amp;$B32,竣!$O$26:$O$130)</f>
        <v>0</v>
      </c>
      <c r="V32" s="402">
        <f t="shared" si="7"/>
        <v>0</v>
      </c>
      <c r="W32" s="376">
        <f>COUNTIF(开!$BN$8:$BN$213,"民生设施"&amp;$B32)+COUNTIF('续 '!$BI$8:$BI$198,"民生设施"&amp;$B32)+COUNTIF(竣!$BJ$26:$BJ$130,"民生设施"&amp;$B32)</f>
        <v>0</v>
      </c>
      <c r="X32" s="376">
        <f>SUMIF(开!$BN$8:$BN$213,"民生设施"&amp;$B32,开!$F$8:$F$213)+SUMIF('续 '!$BI$8:$BI$198,"民生设施"&amp;$B32,'续 '!$F$8:$F$198)+SUMIF(竣!$BJ$26:$BJ$130,"民生设施"&amp;$B32,竣!$F$26:$F$130)</f>
        <v>0</v>
      </c>
      <c r="Y32" s="376">
        <f>SUMIF('续 '!$BI$8:$BI$198,"民生设施"&amp;$B32,'续 '!$G$8:$G$198)+SUMIF(竣!$BJ$26:$BJ$130,"民生设施"&amp;$B32,竣!$G$26:$G$130)</f>
        <v>0</v>
      </c>
      <c r="Z32" s="376">
        <f>SUMIF(开!$BN$8:$BN$213,"民生设施"&amp;$B32,开!$L$8:$L$213)+SUMIF('续 '!$BI$8:$BI$198,"民生设施"&amp;$B32,'续 '!$L$8:$L$198)+SUMIF(竣!$BJ$26:$BJ$130,"民生设施"&amp;$B32,竣!$L$26:$L$130)</f>
        <v>0</v>
      </c>
      <c r="AA32" s="403">
        <f t="shared" si="4"/>
        <v>0</v>
      </c>
      <c r="AB32" s="376">
        <f>SUMIF(开!$BN$8:$BN$213,"民生设施"&amp;$B32,开!$P$8:$P$213)+SUMIF('续 '!$BI$8:$BI$198,"民生设施"&amp;$B32,'续 '!$O$8:$O$198)+SUMIF(竣!$BJ$26:$BJ$130,"民生设施"&amp;$B32,竣!$O$26:$O$130)</f>
        <v>0</v>
      </c>
      <c r="AC32" s="402" t="e">
        <f t="shared" si="8"/>
        <v>#DIV/0!</v>
      </c>
    </row>
    <row r="33" s="334" customFormat="1" ht="34.15" customHeight="1" spans="1:29">
      <c r="A33" s="374">
        <v>16</v>
      </c>
      <c r="B33" s="375" t="s">
        <v>1138</v>
      </c>
      <c r="C33" s="376">
        <f t="shared" si="23"/>
        <v>1</v>
      </c>
      <c r="D33" s="384">
        <f t="shared" si="23"/>
        <v>17500</v>
      </c>
      <c r="E33" s="384">
        <f t="shared" si="23"/>
        <v>0</v>
      </c>
      <c r="F33" s="384">
        <f t="shared" si="23"/>
        <v>5000</v>
      </c>
      <c r="G33" s="385">
        <f t="shared" si="22"/>
        <v>0</v>
      </c>
      <c r="H33" s="371">
        <f t="shared" si="1"/>
        <v>0</v>
      </c>
      <c r="I33" s="376">
        <f>COUNTIF(开!$BN$8:$BN$213,"产业"&amp;$B33)+COUNTIF('续 '!$BI$8:$BI$198,"产业"&amp;$B33)+COUNTIF(竣!$BJ$26:$BJ$130,"产业"&amp;$B33)</f>
        <v>0</v>
      </c>
      <c r="J33" s="376">
        <f>SUMIF(开!$BN$8:$BN$213,"产业"&amp;$B33,开!$F$8:$F$213)+SUMIF('续 '!$BI$8:$BI$198,"产业"&amp;$B33,'续 '!$F$8:$F$198)+SUMIF(竣!$BJ$26:$BJ$130,"产业"&amp;$B33,竣!$F$26:$F$130)</f>
        <v>0</v>
      </c>
      <c r="K33" s="376">
        <f>SUMIF('续 '!$BI$8:$BI$198,"产业"&amp;$B33,'续 '!$G$8:$G$198)+SUMIF(竣!$BJ$26:$BJ$130,"产业"&amp;$B33,竣!$G$26:$G$130)</f>
        <v>0</v>
      </c>
      <c r="L33" s="376">
        <f>SUMIF(开!$BN$8:$BN$213,"产业"&amp;$B33,开!$L$8:$L$213)+SUMIF('续 '!$BI$8:$BI$198,"产业"&amp;$B33,'续 '!$L$8:$L$198)+SUMIF(竣!$BJ$26:$BJ$130,"产业"&amp;$B33,竣!$L$26:$L$130)</f>
        <v>0</v>
      </c>
      <c r="M33" s="403">
        <f t="shared" si="2"/>
        <v>0</v>
      </c>
      <c r="N33" s="376">
        <f>SUMIF(开!$BN$8:$BN$213,"产业"&amp;$B33,开!$P$8:$P$213)+SUMIF('续 '!$BI$8:$BI$198,"产业"&amp;$B33,'续 '!$O$8:$O$198)+SUMIF(竣!$BJ$26:$BJ$130,"产业"&amp;$B33,竣!$O$26:$O$130)</f>
        <v>0</v>
      </c>
      <c r="O33" s="402" t="e">
        <f t="shared" si="6"/>
        <v>#DIV/0!</v>
      </c>
      <c r="P33" s="376">
        <f>COUNTIF(开!$BN$8:$BN$213,"基础设施"&amp;$B33)+COUNTIF('续 '!$BI$8:$BI$198,"基础设施"&amp;$B33)+COUNTIF(竣!$BJ$26:$BJ$130,"基础设施"&amp;$B33)</f>
        <v>1</v>
      </c>
      <c r="Q33" s="376">
        <f>SUMIF(开!$BN$8:$BN$213,"基础设施"&amp;$B33,开!$F$8:$F$213)+SUMIF('续 '!$BI$8:$BI$198,"基础设施"&amp;$B33,'续 '!$F$8:$F$198)+SUMIF(竣!$BJ$26:$BJ$130,"基础设施"&amp;$B33,竣!$F$26:$F$130)</f>
        <v>17500</v>
      </c>
      <c r="R33" s="376">
        <f>SUMIF('续 '!$BI$8:$BI$198,"基础设施"&amp;$B33,'续 '!$G$8:$G$198)+SUMIF(竣!$BJ$26:$BJ$130,"基础设施"&amp;$B33,竣!$G$26:$G$130)</f>
        <v>0</v>
      </c>
      <c r="S33" s="376">
        <f>SUMIF(开!$BN$8:$BN$213,"基础设施"&amp;$B33,开!$L$8:$L$213)+SUMIF('续 '!$BI$8:$BI$198,"基础设施"&amp;$B33,'续 '!$L$8:$L$198)+SUMIF(竣!$BJ$26:$BJ$130,"基础设施"&amp;$B33,竣!$L$26:$L$130)</f>
        <v>5000</v>
      </c>
      <c r="T33" s="403">
        <f t="shared" si="3"/>
        <v>1</v>
      </c>
      <c r="U33" s="376">
        <f>SUMIF(开!$BN$8:$BN$213,"基础设施"&amp;$B33,开!$P$8:$P$213)+SUMIF('续 '!$BI$8:$BI$198,"基础设施"&amp;$B33,'续 '!$O$8:$O$198)+SUMIF(竣!$BJ$26:$BJ$130,"基础设施"&amp;$B33,竣!$O$26:$O$130)</f>
        <v>0</v>
      </c>
      <c r="V33" s="402">
        <f t="shared" si="7"/>
        <v>0</v>
      </c>
      <c r="W33" s="376">
        <f>COUNTIF(开!$BN$8:$BN$213,"民生设施"&amp;$B33)+COUNTIF('续 '!$BI$8:$BI$198,"民生设施"&amp;$B33)+COUNTIF(竣!$BJ$26:$BJ$130,"民生设施"&amp;$B33)</f>
        <v>0</v>
      </c>
      <c r="X33" s="376">
        <f>SUMIF(开!$BN$8:$BN$213,"民生设施"&amp;$B33,开!$F$8:$F$213)+SUMIF('续 '!$BI$8:$BI$198,"民生设施"&amp;$B33,'续 '!$F$8:$F$198)+SUMIF(竣!$BJ$26:$BJ$130,"民生设施"&amp;$B33,竣!$F$26:$F$130)</f>
        <v>0</v>
      </c>
      <c r="Y33" s="376">
        <f>SUMIF('续 '!$BI$8:$BI$198,"民生设施"&amp;$B33,'续 '!$G$8:$G$198)+SUMIF(竣!$BJ$26:$BJ$130,"民生设施"&amp;$B33,竣!$G$26:$G$130)</f>
        <v>0</v>
      </c>
      <c r="Z33" s="376">
        <f>SUMIF(开!$BN$8:$BN$213,"民生设施"&amp;$B33,开!$L$8:$L$213)+SUMIF('续 '!$BI$8:$BI$198,"民生设施"&amp;$B33,'续 '!$L$8:$L$198)+SUMIF(竣!$BJ$26:$BJ$130,"民生设施"&amp;$B33,竣!$L$26:$L$130)</f>
        <v>0</v>
      </c>
      <c r="AA33" s="403">
        <f t="shared" si="4"/>
        <v>0</v>
      </c>
      <c r="AB33" s="376">
        <f>SUMIF(开!$BN$8:$BN$213,"民生设施"&amp;$B33,开!$P$8:$P$213)+SUMIF('续 '!$BI$8:$BI$198,"民生设施"&amp;$B33,'续 '!$O$8:$O$198)+SUMIF(竣!$BJ$26:$BJ$130,"民生设施"&amp;$B33,竣!$O$26:$O$130)</f>
        <v>0</v>
      </c>
      <c r="AC33" s="402" t="e">
        <f t="shared" si="8"/>
        <v>#DIV/0!</v>
      </c>
    </row>
    <row r="34" s="334" customFormat="1" ht="34.15" customHeight="1" spans="1:29">
      <c r="A34" s="374"/>
      <c r="B34" s="375" t="s">
        <v>2781</v>
      </c>
      <c r="C34" s="376">
        <f t="shared" si="23"/>
        <v>0</v>
      </c>
      <c r="D34" s="384">
        <f t="shared" si="23"/>
        <v>0</v>
      </c>
      <c r="E34" s="384">
        <f t="shared" si="23"/>
        <v>0</v>
      </c>
      <c r="F34" s="384">
        <f t="shared" si="23"/>
        <v>0</v>
      </c>
      <c r="G34" s="385">
        <f t="shared" si="22"/>
        <v>0</v>
      </c>
      <c r="H34" s="371" t="e">
        <f t="shared" si="1"/>
        <v>#DIV/0!</v>
      </c>
      <c r="I34" s="376">
        <f>COUNTIF(开!$BN$8:$BN$213,"产业"&amp;$B34)+COUNTIF('续 '!$BI$8:$BI$198,"产业"&amp;$B34)+COUNTIF(竣!$BJ$26:$BJ$130,"产业"&amp;$B34)</f>
        <v>0</v>
      </c>
      <c r="J34" s="376">
        <f>SUMIF(开!$BN$8:$BN$213,"产业"&amp;$B34,开!$F$8:$F$213)+SUMIF('续 '!$BI$8:$BI$198,"产业"&amp;$B34,'续 '!$F$8:$F$198)+SUMIF(竣!$BJ$26:$BJ$130,"产业"&amp;$B34,竣!$F$26:$F$130)</f>
        <v>0</v>
      </c>
      <c r="K34" s="376">
        <f>SUMIF('续 '!$BI$8:$BI$198,"产业"&amp;$B34,'续 '!$G$8:$G$198)+SUMIF(竣!$BJ$26:$BJ$130,"产业"&amp;$B34,竣!$G$26:$G$130)</f>
        <v>0</v>
      </c>
      <c r="L34" s="376">
        <f>SUMIF(开!$BN$8:$BN$213,"产业"&amp;$B34,开!$L$8:$L$213)+SUMIF('续 '!$BI$8:$BI$198,"产业"&amp;$B34,'续 '!$L$8:$L$198)+SUMIF(竣!$BJ$26:$BJ$130,"产业"&amp;$B34,竣!$L$26:$L$130)</f>
        <v>0</v>
      </c>
      <c r="M34" s="403"/>
      <c r="N34" s="376">
        <f>SUMIF(开!$BN$8:$BN$213,"产业"&amp;$B34,开!$P$8:$P$213)+SUMIF('续 '!$BI$8:$BI$198,"产业"&amp;$B34,'续 '!$O$8:$O$198)+SUMIF(竣!$BJ$26:$BJ$130,"产业"&amp;$B34,竣!$O$26:$O$130)</f>
        <v>0</v>
      </c>
      <c r="O34" s="402" t="e">
        <f t="shared" si="6"/>
        <v>#DIV/0!</v>
      </c>
      <c r="P34" s="376">
        <f>COUNTIF(开!$BN$8:$BN$213,"基础设施"&amp;$B34)+COUNTIF('续 '!$BI$8:$BI$198,"基础设施"&amp;$B34)+COUNTIF(竣!$BJ$26:$BJ$130,"基础设施"&amp;$B34)</f>
        <v>0</v>
      </c>
      <c r="Q34" s="376">
        <f>SUMIF(开!$BN$8:$BN$213,"基础设施"&amp;$B34,开!$F$8:$F$213)+SUMIF('续 '!$BI$8:$BI$198,"基础设施"&amp;$B34,'续 '!$F$8:$F$198)+SUMIF(竣!$BJ$26:$BJ$130,"基础设施"&amp;$B34,竣!$F$26:$F$130)</f>
        <v>0</v>
      </c>
      <c r="R34" s="376">
        <f>SUMIF('续 '!$BI$8:$BI$198,"基础设施"&amp;$B34,'续 '!$G$8:$G$198)+SUMIF(竣!$BJ$26:$BJ$130,"基础设施"&amp;$B34,竣!$G$26:$G$130)</f>
        <v>0</v>
      </c>
      <c r="S34" s="376">
        <f>SUMIF(开!$BN$8:$BN$213,"基础设施"&amp;$B34,开!$L$8:$L$213)+SUMIF('续 '!$BI$8:$BI$198,"基础设施"&amp;$B34,'续 '!$L$8:$L$198)+SUMIF(竣!$BJ$26:$BJ$130,"基础设施"&amp;$B34,竣!$L$26:$L$130)</f>
        <v>0</v>
      </c>
      <c r="T34" s="403"/>
      <c r="U34" s="376">
        <f>SUMIF(开!$BN$8:$BN$213,"基础设施"&amp;$B34,开!$P$8:$P$213)+SUMIF('续 '!$BI$8:$BI$198,"基础设施"&amp;$B34,'续 '!$O$8:$O$198)+SUMIF(竣!$BJ$26:$BJ$130,"基础设施"&amp;$B34,竣!$O$26:$O$130)</f>
        <v>0</v>
      </c>
      <c r="V34" s="402" t="e">
        <f t="shared" si="7"/>
        <v>#DIV/0!</v>
      </c>
      <c r="W34" s="376">
        <f>COUNTIF(开!$BN$8:$BN$213,"民生设施"&amp;$B34)+COUNTIF('续 '!$BI$8:$BI$198,"民生设施"&amp;$B34)+COUNTIF(竣!$BJ$26:$BJ$130,"民生设施"&amp;$B34)</f>
        <v>0</v>
      </c>
      <c r="X34" s="376">
        <f>SUMIF(开!$BN$8:$BN$213,"民生设施"&amp;$B34,开!$F$8:$F$213)+SUMIF('续 '!$BI$8:$BI$198,"民生设施"&amp;$B34,'续 '!$F$8:$F$198)+SUMIF(竣!$BJ$26:$BJ$130,"民生设施"&amp;$B34,竣!$F$26:$F$130)</f>
        <v>0</v>
      </c>
      <c r="Y34" s="376">
        <f>SUMIF('续 '!$BI$8:$BI$198,"民生设施"&amp;$B34,'续 '!$G$8:$G$198)+SUMIF(竣!$BJ$26:$BJ$130,"民生设施"&amp;$B34,竣!$G$26:$G$130)</f>
        <v>0</v>
      </c>
      <c r="Z34" s="376">
        <f>SUMIF(开!$BN$8:$BN$213,"民生设施"&amp;$B34,开!$L$8:$L$213)+SUMIF('续 '!$BI$8:$BI$198,"民生设施"&amp;$B34,'续 '!$L$8:$L$198)+SUMIF(竣!$BJ$26:$BJ$130,"民生设施"&amp;$B34,竣!$L$26:$L$130)</f>
        <v>0</v>
      </c>
      <c r="AA34" s="403"/>
      <c r="AB34" s="376">
        <f>SUMIF(开!$BN$8:$BN$213,"民生设施"&amp;$B34,开!$P$8:$P$213)+SUMIF('续 '!$BI$8:$BI$198,"民生设施"&amp;$B34,'续 '!$O$8:$O$198)+SUMIF(竣!$BJ$26:$BJ$130,"民生设施"&amp;$B34,竣!$O$26:$O$130)</f>
        <v>0</v>
      </c>
      <c r="AC34" s="402" t="e">
        <f t="shared" si="8"/>
        <v>#DIV/0!</v>
      </c>
    </row>
    <row r="35" s="334" customFormat="1" ht="34.15" customHeight="1" spans="1:29">
      <c r="A35" s="374">
        <v>17</v>
      </c>
      <c r="B35" s="375" t="s">
        <v>1843</v>
      </c>
      <c r="C35" s="376">
        <f t="shared" si="23"/>
        <v>1</v>
      </c>
      <c r="D35" s="384">
        <f t="shared" si="23"/>
        <v>38100</v>
      </c>
      <c r="E35" s="384">
        <f t="shared" si="23"/>
        <v>6500</v>
      </c>
      <c r="F35" s="384">
        <f t="shared" si="23"/>
        <v>13000</v>
      </c>
      <c r="G35" s="385">
        <f t="shared" si="22"/>
        <v>0</v>
      </c>
      <c r="H35" s="371">
        <f t="shared" si="1"/>
        <v>0</v>
      </c>
      <c r="I35" s="376">
        <f>COUNTIF(开!$BN$8:$BN$213,"产业"&amp;$B35)+COUNTIF('续 '!$BI$8:$BI$198,"产业"&amp;$B35)+COUNTIF(竣!$BJ$26:$BJ$130,"产业"&amp;$B35)</f>
        <v>0</v>
      </c>
      <c r="J35" s="376">
        <f>SUMIF(开!$BN$8:$BN$213,"产业"&amp;$B35,开!$F$8:$F$213)+SUMIF('续 '!$BI$8:$BI$198,"产业"&amp;$B35,'续 '!$F$8:$F$198)+SUMIF(竣!$BJ$26:$BJ$130,"产业"&amp;$B35,竣!$F$26:$F$130)</f>
        <v>0</v>
      </c>
      <c r="K35" s="376">
        <f>SUMIF('续 '!$BI$8:$BI$198,"产业"&amp;$B35,'续 '!$G$8:$G$198)+SUMIF(竣!$BJ$26:$BJ$130,"产业"&amp;$B35,竣!$G$26:$G$130)</f>
        <v>0</v>
      </c>
      <c r="L35" s="376">
        <f>SUMIF(开!$BN$8:$BN$213,"产业"&amp;$B35,开!$L$8:$L$213)+SUMIF('续 '!$BI$8:$BI$198,"产业"&amp;$B35,'续 '!$L$8:$L$198)+SUMIF(竣!$BJ$26:$BJ$130,"产业"&amp;$B35,竣!$L$26:$L$130)</f>
        <v>0</v>
      </c>
      <c r="M35" s="403">
        <f t="shared" si="2"/>
        <v>0</v>
      </c>
      <c r="N35" s="376">
        <f>SUMIF(开!$BN$8:$BN$213,"产业"&amp;$B35,开!$P$8:$P$213)+SUMIF('续 '!$BI$8:$BI$198,"产业"&amp;$B35,'续 '!$O$8:$O$198)+SUMIF(竣!$BJ$26:$BJ$130,"产业"&amp;$B35,竣!$O$26:$O$130)</f>
        <v>0</v>
      </c>
      <c r="O35" s="402" t="e">
        <f t="shared" si="6"/>
        <v>#DIV/0!</v>
      </c>
      <c r="P35" s="376">
        <f>COUNTIF(开!$BN$8:$BN$213,"基础设施"&amp;$B35)+COUNTIF('续 '!$BI$8:$BI$198,"基础设施"&amp;$B35)+COUNTIF(竣!$BJ$26:$BJ$130,"基础设施"&amp;$B35)</f>
        <v>0</v>
      </c>
      <c r="Q35" s="376">
        <f>SUMIF(开!$BN$8:$BN$213,"基础设施"&amp;$B35,开!$F$8:$F$213)+SUMIF('续 '!$BI$8:$BI$198,"基础设施"&amp;$B35,'续 '!$F$8:$F$198)+SUMIF(竣!$BJ$26:$BJ$130,"基础设施"&amp;$B35,竣!$F$26:$F$130)</f>
        <v>0</v>
      </c>
      <c r="R35" s="376">
        <f>SUMIF('续 '!$BI$8:$BI$198,"基础设施"&amp;$B35,'续 '!$G$8:$G$198)+SUMIF(竣!$BJ$26:$BJ$130,"基础设施"&amp;$B35,竣!$G$26:$G$130)</f>
        <v>0</v>
      </c>
      <c r="S35" s="376">
        <f>SUMIF(开!$BN$8:$BN$213,"基础设施"&amp;$B35,开!$L$8:$L$213)+SUMIF('续 '!$BI$8:$BI$198,"基础设施"&amp;$B35,'续 '!$L$8:$L$198)+SUMIF(竣!$BJ$26:$BJ$130,"基础设施"&amp;$B35,竣!$L$26:$L$130)</f>
        <v>0</v>
      </c>
      <c r="T35" s="403">
        <f t="shared" si="3"/>
        <v>0</v>
      </c>
      <c r="U35" s="376">
        <f>SUMIF(开!$BN$8:$BN$213,"基础设施"&amp;$B35,开!$P$8:$P$213)+SUMIF('续 '!$BI$8:$BI$198,"基础设施"&amp;$B35,'续 '!$O$8:$O$198)+SUMIF(竣!$BJ$26:$BJ$130,"基础设施"&amp;$B35,竣!$O$26:$O$130)</f>
        <v>0</v>
      </c>
      <c r="V35" s="402" t="e">
        <f t="shared" si="7"/>
        <v>#DIV/0!</v>
      </c>
      <c r="W35" s="376">
        <f>COUNTIF(开!$BN$8:$BN$213,"民生设施"&amp;$B35)+COUNTIF('续 '!$BI$8:$BI$198,"民生设施"&amp;$B35)+COUNTIF(竣!$BJ$26:$BJ$130,"民生设施"&amp;$B35)</f>
        <v>1</v>
      </c>
      <c r="X35" s="376">
        <f>SUMIF(开!$BN$8:$BN$213,"民生设施"&amp;$B35,开!$F$8:$F$213)+SUMIF('续 '!$BI$8:$BI$198,"民生设施"&amp;$B35,'续 '!$F$8:$F$198)+SUMIF(竣!$BJ$26:$BJ$130,"民生设施"&amp;$B35,竣!$F$26:$F$130)</f>
        <v>38100</v>
      </c>
      <c r="Y35" s="376">
        <f>SUMIF('续 '!$BI$8:$BI$198,"民生设施"&amp;$B35,'续 '!$G$8:$G$198)+SUMIF(竣!$BJ$26:$BJ$130,"民生设施"&amp;$B35,竣!$G$26:$G$130)</f>
        <v>6500</v>
      </c>
      <c r="Z35" s="376">
        <f>SUMIF(开!$BN$8:$BN$213,"民生设施"&amp;$B35,开!$L$8:$L$213)+SUMIF('续 '!$BI$8:$BI$198,"民生设施"&amp;$B35,'续 '!$L$8:$L$198)+SUMIF(竣!$BJ$26:$BJ$130,"民生设施"&amp;$B35,竣!$L$26:$L$130)</f>
        <v>13000</v>
      </c>
      <c r="AA35" s="403">
        <f t="shared" si="4"/>
        <v>1</v>
      </c>
      <c r="AB35" s="376">
        <f>SUMIF(开!$BN$8:$BN$213,"民生设施"&amp;$B35,开!$P$8:$P$213)+SUMIF('续 '!$BI$8:$BI$198,"民生设施"&amp;$B35,'续 '!$O$8:$O$198)+SUMIF(竣!$BJ$26:$BJ$130,"民生设施"&amp;$B35,竣!$O$26:$O$130)</f>
        <v>0</v>
      </c>
      <c r="AC35" s="402">
        <f t="shared" si="8"/>
        <v>0</v>
      </c>
    </row>
    <row r="36" s="334" customFormat="1" ht="42" customHeight="1" spans="1:29">
      <c r="A36" s="374">
        <v>18</v>
      </c>
      <c r="B36" s="375" t="s">
        <v>1759</v>
      </c>
      <c r="C36" s="376">
        <f t="shared" si="18"/>
        <v>1</v>
      </c>
      <c r="D36" s="384">
        <f t="shared" si="19"/>
        <v>11000</v>
      </c>
      <c r="E36" s="384">
        <f t="shared" si="20"/>
        <v>9060</v>
      </c>
      <c r="F36" s="384">
        <f t="shared" si="21"/>
        <v>1940</v>
      </c>
      <c r="G36" s="385">
        <f t="shared" si="22"/>
        <v>0</v>
      </c>
      <c r="H36" s="371">
        <f t="shared" si="1"/>
        <v>0</v>
      </c>
      <c r="I36" s="376">
        <f>COUNTIF(开!$BN$8:$BN$213,"产业"&amp;$B36)+COUNTIF('续 '!$BI$8:$BI$198,"产业"&amp;$B36)+COUNTIF(竣!$BJ$26:$BJ$130,"产业"&amp;$B36)</f>
        <v>0</v>
      </c>
      <c r="J36" s="376">
        <f>SUMIF(开!$BN$8:$BN$213,"产业"&amp;$B36,开!$F$8:$F$213)+SUMIF('续 '!$BI$8:$BI$198,"产业"&amp;$B36,'续 '!$F$8:$F$198)+SUMIF(竣!$BJ$26:$BJ$130,"产业"&amp;$B36,竣!$F$26:$F$130)</f>
        <v>0</v>
      </c>
      <c r="K36" s="376">
        <f>SUMIF('续 '!$BI$8:$BI$198,"产业"&amp;$B36,'续 '!$G$8:$G$198)+SUMIF(竣!$BJ$26:$BJ$130,"产业"&amp;$B36,竣!$G$26:$G$130)</f>
        <v>0</v>
      </c>
      <c r="L36" s="376">
        <f>SUMIF(开!$BN$8:$BN$213,"产业"&amp;$B36,开!$L$8:$L$213)+SUMIF('续 '!$BI$8:$BI$198,"产业"&amp;$B36,'续 '!$L$8:$L$198)+SUMIF(竣!$BJ$26:$BJ$130,"产业"&amp;$B36,竣!$L$26:$L$130)</f>
        <v>0</v>
      </c>
      <c r="M36" s="403">
        <f t="shared" si="2"/>
        <v>0</v>
      </c>
      <c r="N36" s="376">
        <f>SUMIF(开!$BN$8:$BN$213,"产业"&amp;$B36,开!$P$8:$P$213)+SUMIF('续 '!$BI$8:$BI$198,"产业"&amp;$B36,'续 '!$O$8:$O$198)+SUMIF(竣!$BJ$26:$BJ$130,"产业"&amp;$B36,竣!$O$26:$O$130)</f>
        <v>0</v>
      </c>
      <c r="O36" s="402" t="e">
        <f t="shared" si="6"/>
        <v>#DIV/0!</v>
      </c>
      <c r="P36" s="376">
        <f>COUNTIF(开!$BN$8:$BN$213,"基础设施"&amp;$B36)+COUNTIF('续 '!$BI$8:$BI$198,"基础设施"&amp;$B36)+COUNTIF(竣!$BJ$26:$BJ$130,"基础设施"&amp;$B36)</f>
        <v>0</v>
      </c>
      <c r="Q36" s="376">
        <f>SUMIF(开!$BN$8:$BN$213,"基础设施"&amp;$B36,开!$F$8:$F$213)+SUMIF('续 '!$BI$8:$BI$198,"基础设施"&amp;$B36,'续 '!$F$8:$F$198)+SUMIF(竣!$BJ$26:$BJ$130,"基础设施"&amp;$B36,竣!$F$26:$F$130)</f>
        <v>0</v>
      </c>
      <c r="R36" s="376">
        <f>SUMIF('续 '!$BI$8:$BI$198,"基础设施"&amp;$B36,'续 '!$G$8:$G$198)+SUMIF(竣!$BJ$26:$BJ$130,"基础设施"&amp;$B36,竣!$G$26:$G$130)</f>
        <v>0</v>
      </c>
      <c r="S36" s="376">
        <f>SUMIF(开!$BN$8:$BN$213,"基础设施"&amp;$B36,开!$L$8:$L$213)+SUMIF('续 '!$BI$8:$BI$198,"基础设施"&amp;$B36,'续 '!$L$8:$L$198)+SUMIF(竣!$BJ$26:$BJ$130,"基础设施"&amp;$B36,竣!$L$26:$L$130)</f>
        <v>0</v>
      </c>
      <c r="T36" s="403">
        <f t="shared" si="3"/>
        <v>0</v>
      </c>
      <c r="U36" s="376">
        <f>SUMIF(开!$BN$8:$BN$213,"基础设施"&amp;$B36,开!$P$8:$P$213)+SUMIF('续 '!$BI$8:$BI$198,"基础设施"&amp;$B36,'续 '!$O$8:$O$198)+SUMIF(竣!$BJ$26:$BJ$130,"基础设施"&amp;$B36,竣!$O$26:$O$130)</f>
        <v>0</v>
      </c>
      <c r="V36" s="402" t="e">
        <f t="shared" si="7"/>
        <v>#DIV/0!</v>
      </c>
      <c r="W36" s="376">
        <f>COUNTIF(开!$BN$8:$BN$213,"民生设施"&amp;$B36)+COUNTIF('续 '!$BI$8:$BI$198,"民生设施"&amp;$B36)+COUNTIF(竣!$BJ$26:$BJ$130,"民生设施"&amp;$B36)</f>
        <v>1</v>
      </c>
      <c r="X36" s="376">
        <f>SUMIF(开!$BN$8:$BN$213,"民生设施"&amp;$B36,开!$F$8:$F$213)+SUMIF('续 '!$BI$8:$BI$198,"民生设施"&amp;$B36,'续 '!$F$8:$F$198)+SUMIF(竣!$BJ$26:$BJ$130,"民生设施"&amp;$B36,竣!$F$26:$F$130)</f>
        <v>11000</v>
      </c>
      <c r="Y36" s="376">
        <f>SUMIF('续 '!$BI$8:$BI$198,"民生设施"&amp;$B36,'续 '!$G$8:$G$198)+SUMIF(竣!$BJ$26:$BJ$130,"民生设施"&amp;$B36,竣!$G$26:$G$130)</f>
        <v>9060</v>
      </c>
      <c r="Z36" s="376">
        <f>SUMIF(开!$BN$8:$BN$213,"民生设施"&amp;$B36,开!$L$8:$L$213)+SUMIF('续 '!$BI$8:$BI$198,"民生设施"&amp;$B36,'续 '!$L$8:$L$198)+SUMIF(竣!$BJ$26:$BJ$130,"民生设施"&amp;$B36,竣!$L$26:$L$130)</f>
        <v>1940</v>
      </c>
      <c r="AA36" s="403">
        <f t="shared" si="4"/>
        <v>1</v>
      </c>
      <c r="AB36" s="376">
        <f>SUMIF(开!$BN$8:$BN$213,"民生设施"&amp;$B36,开!$P$8:$P$213)+SUMIF('续 '!$BI$8:$BI$198,"民生设施"&amp;$B36,'续 '!$O$8:$O$198)+SUMIF(竣!$BJ$26:$BJ$130,"民生设施"&amp;$B36,竣!$O$26:$O$130)</f>
        <v>0</v>
      </c>
      <c r="AC36" s="402">
        <f t="shared" si="8"/>
        <v>0</v>
      </c>
    </row>
    <row r="37" ht="30" customHeight="1" spans="1:29">
      <c r="A37" s="372" t="s">
        <v>808</v>
      </c>
      <c r="B37" s="373" t="s">
        <v>2760</v>
      </c>
      <c r="C37" s="368">
        <f>SUM(C38:C60)-C42</f>
        <v>39</v>
      </c>
      <c r="D37" s="368">
        <f t="shared" ref="D37:Z37" si="24">SUM(D38:D60)-D42</f>
        <v>2816650.53</v>
      </c>
      <c r="E37" s="368">
        <f t="shared" si="24"/>
        <v>755122.4</v>
      </c>
      <c r="F37" s="368">
        <f t="shared" si="24"/>
        <v>609790</v>
      </c>
      <c r="G37" s="368">
        <f t="shared" si="24"/>
        <v>0</v>
      </c>
      <c r="H37" s="368" t="e">
        <f t="shared" si="24"/>
        <v>#DIV/0!</v>
      </c>
      <c r="I37" s="368">
        <f t="shared" si="24"/>
        <v>6</v>
      </c>
      <c r="J37" s="368">
        <f t="shared" si="24"/>
        <v>138761</v>
      </c>
      <c r="K37" s="368">
        <f t="shared" si="24"/>
        <v>17823</v>
      </c>
      <c r="L37" s="368">
        <f t="shared" si="24"/>
        <v>46901</v>
      </c>
      <c r="M37" s="402">
        <f t="shared" si="2"/>
        <v>0.0769133636169829</v>
      </c>
      <c r="N37" s="368">
        <f t="shared" si="24"/>
        <v>0</v>
      </c>
      <c r="O37" s="368" t="e">
        <f t="shared" si="24"/>
        <v>#DIV/0!</v>
      </c>
      <c r="P37" s="368">
        <f t="shared" si="24"/>
        <v>30</v>
      </c>
      <c r="Q37" s="368">
        <f t="shared" si="24"/>
        <v>2650201.53</v>
      </c>
      <c r="R37" s="368">
        <f t="shared" si="24"/>
        <v>737299.4</v>
      </c>
      <c r="S37" s="368">
        <f t="shared" si="24"/>
        <v>559189</v>
      </c>
      <c r="T37" s="402">
        <f t="shared" si="3"/>
        <v>0.91701897374506</v>
      </c>
      <c r="U37" s="368">
        <f t="shared" si="24"/>
        <v>0</v>
      </c>
      <c r="V37" s="368" t="e">
        <f t="shared" si="24"/>
        <v>#DIV/0!</v>
      </c>
      <c r="W37" s="368">
        <f t="shared" si="24"/>
        <v>3</v>
      </c>
      <c r="X37" s="368">
        <f t="shared" si="24"/>
        <v>27688</v>
      </c>
      <c r="Y37" s="368">
        <f t="shared" si="24"/>
        <v>0</v>
      </c>
      <c r="Z37" s="368">
        <f t="shared" si="24"/>
        <v>3700</v>
      </c>
      <c r="AA37" s="402">
        <f t="shared" si="4"/>
        <v>0.00606766263795733</v>
      </c>
      <c r="AB37" s="368">
        <f>SUM(AB38:AB60)</f>
        <v>0</v>
      </c>
      <c r="AC37" s="402">
        <f t="shared" si="8"/>
        <v>0</v>
      </c>
    </row>
    <row r="38" s="334" customFormat="1" ht="30" customHeight="1" spans="1:29">
      <c r="A38" s="374">
        <v>19</v>
      </c>
      <c r="B38" s="375" t="s">
        <v>456</v>
      </c>
      <c r="C38" s="376">
        <f t="shared" ref="C38:C57" si="25">I38+P38+W38</f>
        <v>1</v>
      </c>
      <c r="D38" s="384">
        <f t="shared" ref="D38:D57" si="26">J38+Q38+X38</f>
        <v>45537</v>
      </c>
      <c r="E38" s="384">
        <f t="shared" ref="E38:E57" si="27">K38+R38+Y38</f>
        <v>0</v>
      </c>
      <c r="F38" s="384">
        <f t="shared" ref="F38:F57" si="28">L38+S38+Z38</f>
        <v>10000</v>
      </c>
      <c r="G38" s="385">
        <f t="shared" ref="G38:G60" si="29">N38+U38+AB38</f>
        <v>0</v>
      </c>
      <c r="H38" s="371">
        <f t="shared" ref="H38:H41" si="30">G38/F38</f>
        <v>0</v>
      </c>
      <c r="I38" s="376">
        <f>COUNTIF(开!$BN$8:$BN$213,"产业"&amp;$B38)+COUNTIF('续 '!$BI$8:$BI$198,"产业"&amp;$B38)+COUNTIF(竣!$BJ$26:$BJ$130,"产业"&amp;$B38)</f>
        <v>1</v>
      </c>
      <c r="J38" s="376">
        <f>SUMIF(开!$BN$8:$BN$213,"产业"&amp;$B38,开!$F$8:$F$213)+SUMIF('续 '!$BI$8:$BI$198,"产业"&amp;$B38,'续 '!$F$8:$F$198)+SUMIF(竣!$BJ$26:$BJ$130,"产业"&amp;$B38,竣!$F$26:$F$130)</f>
        <v>45537</v>
      </c>
      <c r="K38" s="376">
        <f>SUMIF('续 '!$BI$8:$BI$198,"产业"&amp;$B38,'续 '!$G$8:$G$198)+SUMIF(竣!$BJ$26:$BJ$130,"产业"&amp;$B38,竣!$G$26:$G$130)</f>
        <v>0</v>
      </c>
      <c r="L38" s="376">
        <f>SUMIF(开!$BN$8:$BN$213,"产业"&amp;$B38,开!$L$8:$L$213)+SUMIF('续 '!$BI$8:$BI$198,"产业"&amp;$B38,'续 '!$L$8:$L$198)+SUMIF(竣!$BJ$26:$BJ$130,"产业"&amp;$B38,竣!$L$26:$L$130)</f>
        <v>10000</v>
      </c>
      <c r="M38" s="403">
        <f t="shared" si="2"/>
        <v>1</v>
      </c>
      <c r="N38" s="376">
        <f>SUMIF(开!$BN$8:$BN$213,"产业"&amp;$B38,开!$P$8:$P$213)+SUMIF('续 '!$BI$8:$BI$198,"产业"&amp;$B38,'续 '!$O$8:$O$198)+SUMIF(竣!$BJ$26:$BJ$130,"产业"&amp;$B38,竣!$O$26:$O$130)</f>
        <v>0</v>
      </c>
      <c r="O38" s="402">
        <f t="shared" si="6"/>
        <v>0</v>
      </c>
      <c r="P38" s="376">
        <f>COUNTIF(开!$BN$8:$BN$213,"基础设施"&amp;$B38)+COUNTIF('续 '!$BI$8:$BI$198,"基础设施"&amp;$B38)+COUNTIF(竣!$BJ$26:$BJ$130,"基础设施"&amp;$B38)</f>
        <v>0</v>
      </c>
      <c r="Q38" s="376">
        <f>SUMIF(开!$BN$8:$BN$213,"基础设施"&amp;$B38,开!$F$8:$F$213)+SUMIF('续 '!$BI$8:$BI$198,"基础设施"&amp;$B38,'续 '!$F$8:$F$198)+SUMIF(竣!$BJ$26:$BJ$130,"基础设施"&amp;$B38,竣!$F$26:$F$130)</f>
        <v>0</v>
      </c>
      <c r="R38" s="376">
        <f>SUMIF('续 '!$BI$8:$BI$198,"基础设施"&amp;$B38,'续 '!$G$8:$G$198)+SUMIF(竣!$BJ$26:$BJ$130,"基础设施"&amp;$B38,竣!$G$26:$G$130)</f>
        <v>0</v>
      </c>
      <c r="S38" s="376">
        <f>SUMIF(开!$BN$8:$BN$213,"基础设施"&amp;$B38,开!$L$8:$L$213)+SUMIF('续 '!$BI$8:$BI$198,"基础设施"&amp;$B38,'续 '!$L$8:$L$198)+SUMIF(竣!$BJ$26:$BJ$130,"基础设施"&amp;$B38,竣!$L$26:$L$130)</f>
        <v>0</v>
      </c>
      <c r="T38" s="403">
        <f t="shared" si="3"/>
        <v>0</v>
      </c>
      <c r="U38" s="376">
        <f>SUMIF(开!$BN$8:$BN$213,"基础设施"&amp;$B38,开!$P$8:$P$213)+SUMIF('续 '!$BI$8:$BI$198,"基础设施"&amp;$B38,'续 '!$O$8:$O$198)+SUMIF(竣!$BJ$26:$BJ$130,"基础设施"&amp;$B38,竣!$O$26:$O$130)</f>
        <v>0</v>
      </c>
      <c r="V38" s="402" t="e">
        <f t="shared" si="7"/>
        <v>#DIV/0!</v>
      </c>
      <c r="W38" s="376">
        <f>COUNTIF(开!$BN$8:$BN$213,"民生设施"&amp;$B38)+COUNTIF('续 '!$BI$8:$BI$198,"民生设施"&amp;$B38)+COUNTIF(竣!$BJ$26:$BJ$130,"民生设施"&amp;$B38)</f>
        <v>0</v>
      </c>
      <c r="X38" s="376">
        <f>SUMIF(开!$BN$8:$BN$213,"民生设施"&amp;$B38,开!$F$8:$F$213)+SUMIF('续 '!$BI$8:$BI$198,"民生设施"&amp;$B38,'续 '!$F$8:$F$198)+SUMIF(竣!$BJ$26:$BJ$130,"民生设施"&amp;$B38,竣!$F$26:$F$130)</f>
        <v>0</v>
      </c>
      <c r="Y38" s="376">
        <f>SUMIF('续 '!$BI$8:$BI$198,"民生设施"&amp;$B38,'续 '!$G$8:$G$198)+SUMIF(竣!$BJ$26:$BJ$130,"民生设施"&amp;$B38,竣!$G$26:$G$130)</f>
        <v>0</v>
      </c>
      <c r="Z38" s="376">
        <f>SUMIF(开!$BN$8:$BN$213,"民生设施"&amp;$B38,开!$L$8:$L$213)+SUMIF('续 '!$BI$8:$BI$198,"民生设施"&amp;$B38,'续 '!$L$8:$L$198)+SUMIF(竣!$BJ$26:$BJ$130,"民生设施"&amp;$B38,竣!$L$26:$L$130)</f>
        <v>0</v>
      </c>
      <c r="AA38" s="403">
        <f t="shared" si="4"/>
        <v>0</v>
      </c>
      <c r="AB38" s="376">
        <f>SUMIF(开!$BN$8:$BN$213,"民生设施"&amp;$B38,开!$P$8:$P$213)+SUMIF('续 '!$BI$8:$BI$198,"民生设施"&amp;$B38,'续 '!$O$8:$O$198)+SUMIF(竣!$BJ$26:$BJ$130,"民生设施"&amp;$B38,竣!$O$26:$O$130)</f>
        <v>0</v>
      </c>
      <c r="AC38" s="402" t="e">
        <f t="shared" si="8"/>
        <v>#DIV/0!</v>
      </c>
    </row>
    <row r="39" s="334" customFormat="1" ht="30" customHeight="1" spans="1:29">
      <c r="A39" s="374">
        <v>20</v>
      </c>
      <c r="B39" s="375" t="s">
        <v>950</v>
      </c>
      <c r="C39" s="376">
        <f t="shared" si="25"/>
        <v>10</v>
      </c>
      <c r="D39" s="384">
        <f t="shared" si="26"/>
        <v>2240368.7</v>
      </c>
      <c r="E39" s="384">
        <f t="shared" si="27"/>
        <v>561037.4</v>
      </c>
      <c r="F39" s="384">
        <f t="shared" si="28"/>
        <v>460657</v>
      </c>
      <c r="G39" s="385">
        <f t="shared" si="29"/>
        <v>0</v>
      </c>
      <c r="H39" s="371">
        <f t="shared" si="30"/>
        <v>0</v>
      </c>
      <c r="I39" s="376">
        <f>COUNTIF(开!$BN$8:$BN$213,"产业"&amp;$B39)+COUNTIF('续 '!$BI$8:$BI$198,"产业"&amp;$B39)+COUNTIF(竣!$BJ$26:$BJ$130,"产业"&amp;$B39)</f>
        <v>0</v>
      </c>
      <c r="J39" s="376">
        <f>SUMIF(开!$BN$8:$BN$213,"产业"&amp;$B39,开!$F$8:$F$213)+SUMIF('续 '!$BI$8:$BI$198,"产业"&amp;$B39,'续 '!$F$8:$F$198)+SUMIF(竣!$BJ$26:$BJ$130,"产业"&amp;$B39,竣!$F$26:$F$130)</f>
        <v>0</v>
      </c>
      <c r="K39" s="376">
        <f>SUMIF('续 '!$BI$8:$BI$198,"产业"&amp;$B39,'续 '!$G$8:$G$198)+SUMIF(竣!$BJ$26:$BJ$130,"产业"&amp;$B39,竣!$G$26:$G$130)</f>
        <v>0</v>
      </c>
      <c r="L39" s="376">
        <f>SUMIF(开!$BN$8:$BN$213,"产业"&amp;$B39,开!$L$8:$L$213)+SUMIF('续 '!$BI$8:$BI$198,"产业"&amp;$B39,'续 '!$L$8:$L$198)+SUMIF(竣!$BJ$26:$BJ$130,"产业"&amp;$B39,竣!$L$26:$L$130)</f>
        <v>0</v>
      </c>
      <c r="M39" s="403">
        <f t="shared" si="2"/>
        <v>0</v>
      </c>
      <c r="N39" s="376">
        <f>SUMIF(开!$BN$8:$BN$213,"产业"&amp;$B39,开!$P$8:$P$213)+SUMIF('续 '!$BI$8:$BI$198,"产业"&amp;$B39,'续 '!$O$8:$O$198)+SUMIF(竣!$BJ$26:$BJ$130,"产业"&amp;$B39,竣!$O$26:$O$130)</f>
        <v>0</v>
      </c>
      <c r="O39" s="402" t="e">
        <f t="shared" si="6"/>
        <v>#DIV/0!</v>
      </c>
      <c r="P39" s="376">
        <f>COUNTIF(开!$BN$8:$BN$213,"基础设施"&amp;$B39)+COUNTIF('续 '!$BI$8:$BI$198,"基础设施"&amp;$B39)+COUNTIF(竣!$BJ$26:$BJ$130,"基础设施"&amp;$B39)</f>
        <v>10</v>
      </c>
      <c r="Q39" s="376">
        <f>SUMIF(开!$BN$8:$BN$213,"基础设施"&amp;$B39,开!$F$8:$F$213)+SUMIF('续 '!$BI$8:$BI$198,"基础设施"&amp;$B39,'续 '!$F$8:$F$198)+SUMIF(竣!$BJ$26:$BJ$130,"基础设施"&amp;$B39,竣!$F$26:$F$130)</f>
        <v>2240368.7</v>
      </c>
      <c r="R39" s="376">
        <f>SUMIF('续 '!$BI$8:$BI$198,"基础设施"&amp;$B39,'续 '!$G$8:$G$198)+SUMIF(竣!$BJ$26:$BJ$130,"基础设施"&amp;$B39,竣!$G$26:$G$130)</f>
        <v>561037.4</v>
      </c>
      <c r="S39" s="376">
        <f>SUMIF(开!$BN$8:$BN$213,"基础设施"&amp;$B39,开!$L$8:$L$213)+SUMIF('续 '!$BI$8:$BI$198,"基础设施"&amp;$B39,'续 '!$L$8:$L$198)+SUMIF(竣!$BJ$26:$BJ$130,"基础设施"&amp;$B39,竣!$L$26:$L$130)</f>
        <v>460657</v>
      </c>
      <c r="T39" s="403">
        <f t="shared" si="3"/>
        <v>1</v>
      </c>
      <c r="U39" s="376">
        <f>SUMIF(开!$BN$8:$BN$213,"基础设施"&amp;$B39,开!$P$8:$P$213)+SUMIF('续 '!$BI$8:$BI$198,"基础设施"&amp;$B39,'续 '!$O$8:$O$198)+SUMIF(竣!$BJ$26:$BJ$130,"基础设施"&amp;$B39,竣!$O$26:$O$130)</f>
        <v>0</v>
      </c>
      <c r="V39" s="402">
        <f t="shared" si="7"/>
        <v>0</v>
      </c>
      <c r="W39" s="376">
        <f>COUNTIF(开!$BN$8:$BN$213,"民生设施"&amp;$B39)+COUNTIF('续 '!$BI$8:$BI$198,"民生设施"&amp;$B39)+COUNTIF(竣!$BJ$26:$BJ$130,"民生设施"&amp;$B39)</f>
        <v>0</v>
      </c>
      <c r="X39" s="376">
        <f>SUMIF(开!$BN$8:$BN$213,"民生设施"&amp;$B39,开!$F$8:$F$213)+SUMIF('续 '!$BI$8:$BI$198,"民生设施"&amp;$B39,'续 '!$F$8:$F$198)+SUMIF(竣!$BJ$26:$BJ$130,"民生设施"&amp;$B39,竣!$F$26:$F$130)</f>
        <v>0</v>
      </c>
      <c r="Y39" s="376">
        <f>SUMIF('续 '!$BI$8:$BI$198,"民生设施"&amp;$B39,'续 '!$G$8:$G$198)+SUMIF(竣!$BJ$26:$BJ$130,"民生设施"&amp;$B39,竣!$G$26:$G$130)</f>
        <v>0</v>
      </c>
      <c r="Z39" s="376">
        <f>SUMIF(开!$BN$8:$BN$213,"民生设施"&amp;$B39,开!$L$8:$L$213)+SUMIF('续 '!$BI$8:$BI$198,"民生设施"&amp;$B39,'续 '!$L$8:$L$198)+SUMIF(竣!$BJ$26:$BJ$130,"民生设施"&amp;$B39,竣!$L$26:$L$130)</f>
        <v>0</v>
      </c>
      <c r="AA39" s="403">
        <f t="shared" si="4"/>
        <v>0</v>
      </c>
      <c r="AB39" s="376">
        <f>SUMIF(开!$BN$8:$BN$213,"民生设施"&amp;$B39,开!$P$8:$P$213)+SUMIF('续 '!$BI$8:$BI$198,"民生设施"&amp;$B39,'续 '!$O$8:$O$198)+SUMIF(竣!$BJ$26:$BJ$130,"民生设施"&amp;$B39,竣!$O$26:$O$130)</f>
        <v>0</v>
      </c>
      <c r="AC39" s="402" t="e">
        <f t="shared" si="8"/>
        <v>#DIV/0!</v>
      </c>
    </row>
    <row r="40" s="334" customFormat="1" ht="45" customHeight="1" spans="1:29">
      <c r="A40" s="374">
        <v>21</v>
      </c>
      <c r="B40" s="375" t="s">
        <v>1118</v>
      </c>
      <c r="C40" s="376">
        <f t="shared" si="25"/>
        <v>2</v>
      </c>
      <c r="D40" s="384">
        <f t="shared" si="26"/>
        <v>89987</v>
      </c>
      <c r="E40" s="384">
        <f t="shared" si="27"/>
        <v>50339</v>
      </c>
      <c r="F40" s="384">
        <f t="shared" si="28"/>
        <v>18518</v>
      </c>
      <c r="G40" s="385">
        <f t="shared" si="29"/>
        <v>0</v>
      </c>
      <c r="H40" s="371">
        <f t="shared" si="30"/>
        <v>0</v>
      </c>
      <c r="I40" s="376">
        <f>COUNTIF(开!$BN$8:$BN$213,"产业"&amp;$B40)+COUNTIF('续 '!$BI$8:$BI$198,"产业"&amp;$B40)+COUNTIF(竣!$BJ$26:$BJ$130,"产业"&amp;$B40)</f>
        <v>0</v>
      </c>
      <c r="J40" s="376">
        <f>SUMIF(开!$BN$8:$BN$213,"产业"&amp;$B40,开!$F$8:$F$213)+SUMIF('续 '!$BI$8:$BI$198,"产业"&amp;$B40,'续 '!$F$8:$F$198)+SUMIF(竣!$BJ$26:$BJ$130,"产业"&amp;$B40,竣!$F$26:$F$130)</f>
        <v>0</v>
      </c>
      <c r="K40" s="376">
        <f>SUMIF('续 '!$BI$8:$BI$198,"产业"&amp;$B40,'续 '!$G$8:$G$198)+SUMIF(竣!$BJ$26:$BJ$130,"产业"&amp;$B40,竣!$G$26:$G$130)</f>
        <v>0</v>
      </c>
      <c r="L40" s="376">
        <f>SUMIF(开!$BN$8:$BN$213,"产业"&amp;$B40,开!$L$8:$L$213)+SUMIF('续 '!$BI$8:$BI$198,"产业"&amp;$B40,'续 '!$L$8:$L$198)+SUMIF(竣!$BJ$26:$BJ$130,"产业"&amp;$B40,竣!$L$26:$L$130)</f>
        <v>0</v>
      </c>
      <c r="M40" s="403">
        <f t="shared" si="2"/>
        <v>0</v>
      </c>
      <c r="N40" s="376">
        <f>SUMIF(开!$BN$8:$BN$213,"产业"&amp;$B40,开!$P$8:$P$213)+SUMIF('续 '!$BI$8:$BI$198,"产业"&amp;$B40,'续 '!$O$8:$O$198)+SUMIF(竣!$BJ$26:$BJ$130,"产业"&amp;$B40,竣!$O$26:$O$130)</f>
        <v>0</v>
      </c>
      <c r="O40" s="402" t="e">
        <f t="shared" si="6"/>
        <v>#DIV/0!</v>
      </c>
      <c r="P40" s="376">
        <f>COUNTIF(开!$BN$8:$BN$213,"基础设施"&amp;$B40)+COUNTIF('续 '!$BI$8:$BI$198,"基础设施"&amp;$B40)+COUNTIF(竣!$BJ$26:$BJ$130,"基础设施"&amp;$B40)</f>
        <v>2</v>
      </c>
      <c r="Q40" s="376">
        <f>SUMIF(开!$BN$8:$BN$213,"基础设施"&amp;$B40,开!$F$8:$F$213)+SUMIF('续 '!$BI$8:$BI$198,"基础设施"&amp;$B40,'续 '!$F$8:$F$198)+SUMIF(竣!$BJ$26:$BJ$130,"基础设施"&amp;$B40,竣!$F$26:$F$130)</f>
        <v>89987</v>
      </c>
      <c r="R40" s="376">
        <f>SUMIF('续 '!$BI$8:$BI$198,"基础设施"&amp;$B40,'续 '!$G$8:$G$198)+SUMIF(竣!$BJ$26:$BJ$130,"基础设施"&amp;$B40,竣!$G$26:$G$130)</f>
        <v>50339</v>
      </c>
      <c r="S40" s="376">
        <f>SUMIF(开!$BN$8:$BN$213,"基础设施"&amp;$B40,开!$L$8:$L$213)+SUMIF('续 '!$BI$8:$BI$198,"基础设施"&amp;$B40,'续 '!$L$8:$L$198)+SUMIF(竣!$BJ$26:$BJ$130,"基础设施"&amp;$B40,竣!$L$26:$L$130)</f>
        <v>18518</v>
      </c>
      <c r="T40" s="403">
        <f t="shared" si="3"/>
        <v>1</v>
      </c>
      <c r="U40" s="376">
        <f>SUMIF(开!$BN$8:$BN$213,"基础设施"&amp;$B40,开!$P$8:$P$213)+SUMIF('续 '!$BI$8:$BI$198,"基础设施"&amp;$B40,'续 '!$O$8:$O$198)+SUMIF(竣!$BJ$26:$BJ$130,"基础设施"&amp;$B40,竣!$O$26:$O$130)</f>
        <v>0</v>
      </c>
      <c r="V40" s="402">
        <f t="shared" si="7"/>
        <v>0</v>
      </c>
      <c r="W40" s="376">
        <f>COUNTIF(开!$BN$8:$BN$213,"民生设施"&amp;$B40)+COUNTIF('续 '!$BI$8:$BI$198,"民生设施"&amp;$B40)+COUNTIF(竣!$BJ$26:$BJ$130,"民生设施"&amp;$B40)</f>
        <v>0</v>
      </c>
      <c r="X40" s="376">
        <f>SUMIF(开!$BN$8:$BN$213,"民生设施"&amp;$B40,开!$F$8:$F$213)+SUMIF('续 '!$BI$8:$BI$198,"民生设施"&amp;$B40,'续 '!$F$8:$F$198)+SUMIF(竣!$BJ$26:$BJ$130,"民生设施"&amp;$B40,竣!$F$26:$F$130)</f>
        <v>0</v>
      </c>
      <c r="Y40" s="376">
        <f>SUMIF('续 '!$BI$8:$BI$198,"民生设施"&amp;$B40,'续 '!$G$8:$G$198)+SUMIF(竣!$BJ$26:$BJ$130,"民生设施"&amp;$B40,竣!$G$26:$G$130)</f>
        <v>0</v>
      </c>
      <c r="Z40" s="376">
        <f>SUMIF(开!$BN$8:$BN$213,"民生设施"&amp;$B40,开!$L$8:$L$213)+SUMIF('续 '!$BI$8:$BI$198,"民生设施"&amp;$B40,'续 '!$L$8:$L$198)+SUMIF(竣!$BJ$26:$BJ$130,"民生设施"&amp;$B40,竣!$L$26:$L$130)</f>
        <v>0</v>
      </c>
      <c r="AA40" s="403">
        <f t="shared" si="4"/>
        <v>0</v>
      </c>
      <c r="AB40" s="376">
        <f>SUMIF(开!$BN$8:$BN$213,"民生设施"&amp;$B40,开!$P$8:$P$213)+SUMIF('续 '!$BI$8:$BI$198,"民生设施"&amp;$B40,'续 '!$O$8:$O$198)+SUMIF(竣!$BJ$26:$BJ$130,"民生设施"&amp;$B40,竣!$O$26:$O$130)</f>
        <v>0</v>
      </c>
      <c r="AC40" s="402" t="e">
        <f t="shared" si="8"/>
        <v>#DIV/0!</v>
      </c>
    </row>
    <row r="41" s="334" customFormat="1" ht="30" customHeight="1" spans="1:29">
      <c r="A41" s="374">
        <v>22</v>
      </c>
      <c r="B41" s="375" t="s">
        <v>749</v>
      </c>
      <c r="C41" s="376">
        <f t="shared" si="25"/>
        <v>1</v>
      </c>
      <c r="D41" s="384">
        <f t="shared" si="26"/>
        <v>32500</v>
      </c>
      <c r="E41" s="384">
        <f t="shared" si="27"/>
        <v>5000</v>
      </c>
      <c r="F41" s="384">
        <f t="shared" si="28"/>
        <v>10000</v>
      </c>
      <c r="G41" s="385">
        <f t="shared" si="29"/>
        <v>0</v>
      </c>
      <c r="H41" s="371">
        <f t="shared" si="30"/>
        <v>0</v>
      </c>
      <c r="I41" s="376">
        <f>COUNTIF(开!$BN$8:$BN$213,"产业"&amp;$B41)+COUNTIF('续 '!$BI$8:$BI$198,"产业"&amp;$B41)+COUNTIF(竣!$BJ$26:$BJ$130,"产业"&amp;$B41)</f>
        <v>1</v>
      </c>
      <c r="J41" s="376">
        <f>SUMIF(开!$BN$8:$BN$213,"产业"&amp;$B41,开!$F$8:$F$213)+SUMIF('续 '!$BI$8:$BI$198,"产业"&amp;$B41,'续 '!$F$8:$F$198)+SUMIF(竣!$BJ$26:$BJ$130,"产业"&amp;$B41,竣!$F$26:$F$130)</f>
        <v>32500</v>
      </c>
      <c r="K41" s="376">
        <f>SUMIF('续 '!$BI$8:$BI$198,"产业"&amp;$B41,'续 '!$G$8:$G$198)+SUMIF(竣!$BJ$26:$BJ$130,"产业"&amp;$B41,竣!$G$26:$G$130)</f>
        <v>5000</v>
      </c>
      <c r="L41" s="376">
        <f>SUMIF(开!$BN$8:$BN$213,"产业"&amp;$B41,开!$L$8:$L$213)+SUMIF('续 '!$BI$8:$BI$198,"产业"&amp;$B41,'续 '!$L$8:$L$198)+SUMIF(竣!$BJ$26:$BJ$130,"产业"&amp;$B41,竣!$L$26:$L$130)</f>
        <v>10000</v>
      </c>
      <c r="M41" s="403">
        <f t="shared" si="2"/>
        <v>1</v>
      </c>
      <c r="N41" s="376">
        <f>SUMIF(开!$BN$8:$BN$213,"产业"&amp;$B41,开!$P$8:$P$213)+SUMIF('续 '!$BI$8:$BI$198,"产业"&amp;$B41,'续 '!$O$8:$O$198)+SUMIF(竣!$BJ$26:$BJ$130,"产业"&amp;$B41,竣!$O$26:$O$130)</f>
        <v>0</v>
      </c>
      <c r="O41" s="402">
        <f t="shared" si="6"/>
        <v>0</v>
      </c>
      <c r="P41" s="376">
        <f>COUNTIF(开!$BN$8:$BN$213,"基础设施"&amp;$B41)+COUNTIF('续 '!$BI$8:$BI$198,"基础设施"&amp;$B41)+COUNTIF(竣!$BJ$26:$BJ$130,"基础设施"&amp;$B41)</f>
        <v>0</v>
      </c>
      <c r="Q41" s="376">
        <f>SUMIF(开!$BN$8:$BN$213,"基础设施"&amp;$B41,开!$F$8:$F$213)+SUMIF('续 '!$BI$8:$BI$198,"基础设施"&amp;$B41,'续 '!$F$8:$F$198)+SUMIF(竣!$BJ$26:$BJ$130,"基础设施"&amp;$B41,竣!$F$26:$F$130)</f>
        <v>0</v>
      </c>
      <c r="R41" s="376">
        <f>SUMIF('续 '!$BI$8:$BI$198,"基础设施"&amp;$B41,'续 '!$G$8:$G$198)+SUMIF(竣!$BJ$26:$BJ$130,"基础设施"&amp;$B41,竣!$G$26:$G$130)</f>
        <v>0</v>
      </c>
      <c r="S41" s="376">
        <f>SUMIF(开!$BN$8:$BN$213,"基础设施"&amp;$B41,开!$L$8:$L$213)+SUMIF('续 '!$BI$8:$BI$198,"基础设施"&amp;$B41,'续 '!$L$8:$L$198)+SUMIF(竣!$BJ$26:$BJ$130,"基础设施"&amp;$B41,竣!$L$26:$L$130)</f>
        <v>0</v>
      </c>
      <c r="T41" s="403">
        <f t="shared" si="3"/>
        <v>0</v>
      </c>
      <c r="U41" s="376">
        <f>SUMIF(开!$BN$8:$BN$213,"基础设施"&amp;$B41,开!$P$8:$P$213)+SUMIF('续 '!$BI$8:$BI$198,"基础设施"&amp;$B41,'续 '!$O$8:$O$198)+SUMIF(竣!$BJ$26:$BJ$130,"基础设施"&amp;$B41,竣!$O$26:$O$130)</f>
        <v>0</v>
      </c>
      <c r="V41" s="402" t="e">
        <f t="shared" si="7"/>
        <v>#DIV/0!</v>
      </c>
      <c r="W41" s="376">
        <f>COUNTIF(开!$BN$8:$BN$213,"民生设施"&amp;$B41)+COUNTIF('续 '!$BI$8:$BI$198,"民生设施"&amp;$B41)+COUNTIF(竣!$BJ$26:$BJ$130,"民生设施"&amp;$B41)</f>
        <v>0</v>
      </c>
      <c r="X41" s="376">
        <f>SUMIF(开!$BN$8:$BN$213,"民生设施"&amp;$B41,开!$F$8:$F$213)+SUMIF('续 '!$BI$8:$BI$198,"民生设施"&amp;$B41,'续 '!$F$8:$F$198)+SUMIF(竣!$BJ$26:$BJ$130,"民生设施"&amp;$B41,竣!$F$26:$F$130)</f>
        <v>0</v>
      </c>
      <c r="Y41" s="376">
        <f>SUMIF('续 '!$BI$8:$BI$198,"民生设施"&amp;$B41,'续 '!$G$8:$G$198)+SUMIF(竣!$BJ$26:$BJ$130,"民生设施"&amp;$B41,竣!$G$26:$G$130)</f>
        <v>0</v>
      </c>
      <c r="Z41" s="376">
        <f>SUMIF(开!$BN$8:$BN$213,"民生设施"&amp;$B41,开!$L$8:$L$213)+SUMIF('续 '!$BI$8:$BI$198,"民生设施"&amp;$B41,'续 '!$L$8:$L$198)+SUMIF(竣!$BJ$26:$BJ$130,"民生设施"&amp;$B41,竣!$L$26:$L$130)</f>
        <v>0</v>
      </c>
      <c r="AA41" s="403">
        <f t="shared" si="4"/>
        <v>0</v>
      </c>
      <c r="AB41" s="376">
        <f>SUMIF(开!$BN$8:$BN$213,"民生设施"&amp;$B41,开!$P$8:$P$213)+SUMIF('续 '!$BI$8:$BI$198,"民生设施"&amp;$B41,'续 '!$O$8:$O$198)+SUMIF(竣!$BJ$26:$BJ$130,"民生设施"&amp;$B41,竣!$O$26:$O$130)</f>
        <v>0</v>
      </c>
      <c r="AC41" s="402" t="e">
        <f t="shared" si="8"/>
        <v>#DIV/0!</v>
      </c>
    </row>
    <row r="42" s="334" customFormat="1" ht="30" customHeight="1" spans="1:29">
      <c r="A42" s="374"/>
      <c r="B42" s="375" t="s">
        <v>2764</v>
      </c>
      <c r="C42" s="376">
        <f>C27</f>
        <v>3</v>
      </c>
      <c r="D42" s="376">
        <f t="shared" ref="D42:Z42" si="31">D27</f>
        <v>5580000</v>
      </c>
      <c r="E42" s="376">
        <f t="shared" si="31"/>
        <v>0</v>
      </c>
      <c r="F42" s="376">
        <f t="shared" si="31"/>
        <v>90000</v>
      </c>
      <c r="G42" s="376">
        <f t="shared" si="31"/>
        <v>0</v>
      </c>
      <c r="H42" s="376">
        <f t="shared" si="31"/>
        <v>0</v>
      </c>
      <c r="I42" s="376">
        <f t="shared" si="31"/>
        <v>3</v>
      </c>
      <c r="J42" s="376">
        <f t="shared" si="31"/>
        <v>5580000</v>
      </c>
      <c r="K42" s="376">
        <f t="shared" si="31"/>
        <v>0</v>
      </c>
      <c r="L42" s="376">
        <f t="shared" si="31"/>
        <v>90000</v>
      </c>
      <c r="M42" s="376">
        <f t="shared" si="31"/>
        <v>1</v>
      </c>
      <c r="N42" s="376">
        <f t="shared" si="31"/>
        <v>0</v>
      </c>
      <c r="O42" s="376">
        <f t="shared" si="31"/>
        <v>0</v>
      </c>
      <c r="P42" s="376">
        <f t="shared" si="31"/>
        <v>0</v>
      </c>
      <c r="Q42" s="376">
        <f t="shared" si="31"/>
        <v>0</v>
      </c>
      <c r="R42" s="376">
        <f t="shared" si="31"/>
        <v>0</v>
      </c>
      <c r="S42" s="376">
        <f t="shared" si="31"/>
        <v>0</v>
      </c>
      <c r="T42" s="376">
        <f t="shared" si="31"/>
        <v>0</v>
      </c>
      <c r="U42" s="376">
        <f t="shared" si="31"/>
        <v>0</v>
      </c>
      <c r="V42" s="376" t="e">
        <f t="shared" si="31"/>
        <v>#DIV/0!</v>
      </c>
      <c r="W42" s="376">
        <f t="shared" si="31"/>
        <v>0</v>
      </c>
      <c r="X42" s="376">
        <f t="shared" si="31"/>
        <v>0</v>
      </c>
      <c r="Y42" s="376">
        <f t="shared" si="31"/>
        <v>0</v>
      </c>
      <c r="Z42" s="376">
        <f t="shared" si="31"/>
        <v>0</v>
      </c>
      <c r="AA42" s="403">
        <f t="shared" ref="AA42:AA57" si="32">Z42/F42</f>
        <v>0</v>
      </c>
      <c r="AB42" s="376">
        <f>SUMIF(开!$BN$8:$BN$213,"民生设施"&amp;$B42,开!$P$8:$P$213)+SUMIF('续 '!$BI$8:$BI$198,"民生设施"&amp;$B42,'续 '!$O$8:$O$198)+SUMIF(竣!$BJ$26:$BJ$130,"民生设施"&amp;$B42,竣!$O$26:$O$130)</f>
        <v>0</v>
      </c>
      <c r="AC42" s="402" t="e">
        <f t="shared" si="8"/>
        <v>#DIV/0!</v>
      </c>
    </row>
    <row r="43" s="334" customFormat="1" ht="30" customHeight="1" spans="1:29">
      <c r="A43" s="374">
        <v>23</v>
      </c>
      <c r="B43" s="375" t="s">
        <v>986</v>
      </c>
      <c r="C43" s="376">
        <f t="shared" si="25"/>
        <v>11</v>
      </c>
      <c r="D43" s="384">
        <f t="shared" si="26"/>
        <v>150892.8</v>
      </c>
      <c r="E43" s="384">
        <f t="shared" si="27"/>
        <v>40081</v>
      </c>
      <c r="F43" s="384">
        <f t="shared" si="28"/>
        <v>56114</v>
      </c>
      <c r="G43" s="385">
        <f t="shared" si="29"/>
        <v>0</v>
      </c>
      <c r="H43" s="371">
        <f t="shared" ref="H43:H71" si="33">G43/F43</f>
        <v>0</v>
      </c>
      <c r="I43" s="376">
        <f>COUNTIF(开!$BN$8:$BN$213,"产业"&amp;$B43)+COUNTIF('续 '!$BI$8:$BI$198,"产业"&amp;$B43)+COUNTIF(竣!$BJ$26:$BJ$130,"产业"&amp;$B43)</f>
        <v>0</v>
      </c>
      <c r="J43" s="376">
        <f>SUMIF(开!$BN$8:$BN$213,"产业"&amp;$B43,开!$F$8:$F$213)+SUMIF('续 '!$BI$8:$BI$198,"产业"&amp;$B43,'续 '!$F$8:$F$198)+SUMIF(竣!$BJ$26:$BJ$130,"产业"&amp;$B43,竣!$F$26:$F$130)</f>
        <v>0</v>
      </c>
      <c r="K43" s="376">
        <f>SUMIF('续 '!$BI$8:$BI$198,"产业"&amp;$B43,'续 '!$G$8:$G$198)+SUMIF(竣!$BJ$26:$BJ$130,"产业"&amp;$B43,竣!$G$26:$G$130)</f>
        <v>0</v>
      </c>
      <c r="L43" s="376">
        <f>SUMIF(开!$BN$8:$BN$213,"产业"&amp;$B43,开!$L$8:$L$213)+SUMIF('续 '!$BI$8:$BI$198,"产业"&amp;$B43,'续 '!$L$8:$L$198)+SUMIF(竣!$BJ$26:$BJ$130,"产业"&amp;$B43,竣!$L$26:$L$130)</f>
        <v>0</v>
      </c>
      <c r="M43" s="403">
        <f t="shared" si="2"/>
        <v>0</v>
      </c>
      <c r="N43" s="376">
        <f>SUMIF(开!$BN$8:$BN$213,"产业"&amp;$B43,开!$P$8:$P$213)+SUMIF('续 '!$BI$8:$BI$198,"产业"&amp;$B43,'续 '!$O$8:$O$198)+SUMIF(竣!$BJ$26:$BJ$130,"产业"&amp;$B43,竣!$O$26:$O$130)</f>
        <v>0</v>
      </c>
      <c r="O43" s="402" t="e">
        <f t="shared" si="6"/>
        <v>#DIV/0!</v>
      </c>
      <c r="P43" s="376">
        <f>COUNTIF(开!$BN$8:$BN$213,"基础设施"&amp;$B43)+COUNTIF('续 '!$BI$8:$BI$198,"基础设施"&amp;$B43)+COUNTIF(竣!$BJ$26:$BJ$130,"基础设施"&amp;$B43)</f>
        <v>11</v>
      </c>
      <c r="Q43" s="376">
        <f>SUMIF(开!$BN$8:$BN$213,"基础设施"&amp;$B43,开!$F$8:$F$213)+SUMIF('续 '!$BI$8:$BI$198,"基础设施"&amp;$B43,'续 '!$F$8:$F$198)+SUMIF(竣!$BJ$26:$BJ$130,"基础设施"&amp;$B43,竣!$F$26:$F$130)</f>
        <v>150892.8</v>
      </c>
      <c r="R43" s="376">
        <f>SUMIF('续 '!$BI$8:$BI$198,"基础设施"&amp;$B43,'续 '!$G$8:$G$198)+SUMIF(竣!$BJ$26:$BJ$130,"基础设施"&amp;$B43,竣!$G$26:$G$130)</f>
        <v>40081</v>
      </c>
      <c r="S43" s="376">
        <f>SUMIF(开!$BN$8:$BN$213,"基础设施"&amp;$B43,开!$L$8:$L$213)+SUMIF('续 '!$BI$8:$BI$198,"基础设施"&amp;$B43,'续 '!$L$8:$L$198)+SUMIF(竣!$BJ$26:$BJ$130,"基础设施"&amp;$B43,竣!$L$26:$L$130)</f>
        <v>56114</v>
      </c>
      <c r="T43" s="403">
        <f t="shared" si="3"/>
        <v>1</v>
      </c>
      <c r="U43" s="376">
        <f>SUMIF(开!$BN$8:$BN$213,"基础设施"&amp;$B43,开!$P$8:$P$213)+SUMIF('续 '!$BI$8:$BI$198,"基础设施"&amp;$B43,'续 '!$O$8:$O$198)+SUMIF(竣!$BJ$26:$BJ$130,"基础设施"&amp;$B43,竣!$O$26:$O$130)</f>
        <v>0</v>
      </c>
      <c r="V43" s="402">
        <f t="shared" si="7"/>
        <v>0</v>
      </c>
      <c r="W43" s="376">
        <f>COUNTIF(开!$BN$8:$BN$213,"民生设施"&amp;$B43)+COUNTIF('续 '!$BI$8:$BI$198,"民生设施"&amp;$B43)+COUNTIF(竣!$BJ$26:$BJ$130,"民生设施"&amp;$B43)</f>
        <v>0</v>
      </c>
      <c r="X43" s="376">
        <f>SUMIF(开!$BN$8:$BN$213,"民生设施"&amp;$B43,开!$F$8:$F$213)+SUMIF('续 '!$BI$8:$BI$198,"民生设施"&amp;$B43,'续 '!$F$8:$F$198)+SUMIF(竣!$BJ$26:$BJ$130,"民生设施"&amp;$B43,竣!$F$26:$F$130)</f>
        <v>0</v>
      </c>
      <c r="Y43" s="376">
        <f>SUMIF('续 '!$BI$8:$BI$198,"民生设施"&amp;$B43,'续 '!$G$8:$G$198)+SUMIF(竣!$BJ$26:$BJ$130,"民生设施"&amp;$B43,竣!$G$26:$G$130)</f>
        <v>0</v>
      </c>
      <c r="Z43" s="376">
        <f>SUMIF(开!$BN$8:$BN$213,"民生设施"&amp;$B43,开!$L$8:$L$213)+SUMIF('续 '!$BI$8:$BI$198,"民生设施"&amp;$B43,'续 '!$L$8:$L$198)+SUMIF(竣!$BJ$26:$BJ$130,"民生设施"&amp;$B43,竣!$L$26:$L$130)</f>
        <v>0</v>
      </c>
      <c r="AA43" s="403">
        <f t="shared" si="4"/>
        <v>0</v>
      </c>
      <c r="AB43" s="376">
        <f>SUMIF(开!$BN$8:$BN$213,"民生设施"&amp;$B43,开!$P$8:$P$213)+SUMIF('续 '!$BI$8:$BI$198,"民生设施"&amp;$B43,'续 '!$O$8:$O$198)+SUMIF(竣!$BJ$26:$BJ$130,"民生设施"&amp;$B43,竣!$O$26:$O$130)</f>
        <v>0</v>
      </c>
      <c r="AC43" s="402" t="e">
        <f t="shared" si="8"/>
        <v>#DIV/0!</v>
      </c>
    </row>
    <row r="44" s="334" customFormat="1" ht="30" customHeight="1" spans="1:29">
      <c r="A44" s="374"/>
      <c r="B44" s="375" t="s">
        <v>1586</v>
      </c>
      <c r="C44" s="376">
        <f t="shared" si="25"/>
        <v>0</v>
      </c>
      <c r="D44" s="384">
        <f t="shared" si="26"/>
        <v>0</v>
      </c>
      <c r="E44" s="384">
        <f t="shared" si="27"/>
        <v>0</v>
      </c>
      <c r="F44" s="384">
        <f t="shared" si="28"/>
        <v>0</v>
      </c>
      <c r="G44" s="385">
        <f t="shared" si="29"/>
        <v>0</v>
      </c>
      <c r="H44" s="371" t="e">
        <f t="shared" si="33"/>
        <v>#DIV/0!</v>
      </c>
      <c r="I44" s="376">
        <f>COUNTIF(开!$BN$8:$BN$213,"产业"&amp;$B44)+COUNTIF('续 '!$BI$8:$BI$198,"产业"&amp;$B44)+COUNTIF(竣!$BJ$26:$BJ$130,"产业"&amp;$B44)</f>
        <v>0</v>
      </c>
      <c r="J44" s="376">
        <f>SUMIF(开!$BN$8:$BN$213,"产业"&amp;$B44,开!$F$8:$F$213)+SUMIF('续 '!$BI$8:$BI$198,"产业"&amp;$B44,'续 '!$F$8:$F$198)+SUMIF(竣!$BJ$26:$BJ$130,"产业"&amp;$B44,竣!$F$26:$F$130)</f>
        <v>0</v>
      </c>
      <c r="K44" s="376">
        <f>SUMIF('续 '!$BI$8:$BI$198,"产业"&amp;$B44,'续 '!$G$8:$G$198)+SUMIF(竣!$BJ$26:$BJ$130,"产业"&amp;$B44,竣!$G$26:$G$130)</f>
        <v>0</v>
      </c>
      <c r="L44" s="376">
        <f>SUMIF(开!$BN$8:$BN$213,"产业"&amp;$B44,开!$L$8:$L$213)+SUMIF('续 '!$BI$8:$BI$198,"产业"&amp;$B44,'续 '!$L$8:$L$198)+SUMIF(竣!$BJ$26:$BJ$130,"产业"&amp;$B44,竣!$L$26:$L$130)</f>
        <v>0</v>
      </c>
      <c r="M44" s="403" t="e">
        <f t="shared" ref="M44:M71" si="34">L44/F44</f>
        <v>#DIV/0!</v>
      </c>
      <c r="N44" s="376">
        <f>SUMIF(开!$BN$8:$BN$213,"产业"&amp;$B44,开!$P$8:$P$213)+SUMIF('续 '!$BI$8:$BI$198,"产业"&amp;$B44,'续 '!$O$8:$O$198)+SUMIF(竣!$BJ$26:$BJ$130,"产业"&amp;$B44,竣!$O$26:$O$130)</f>
        <v>0</v>
      </c>
      <c r="O44" s="402" t="e">
        <f t="shared" si="6"/>
        <v>#DIV/0!</v>
      </c>
      <c r="P44" s="376">
        <f>COUNTIF(开!$BN$8:$BN$213,"基础设施"&amp;$B44)+COUNTIF('续 '!$BI$8:$BI$198,"基础设施"&amp;$B44)+COUNTIF(竣!$BJ$26:$BJ$130,"基础设施"&amp;$B44)</f>
        <v>0</v>
      </c>
      <c r="Q44" s="376">
        <f>SUMIF(开!$BN$8:$BN$213,"基础设施"&amp;$B44,开!$F$8:$F$213)+SUMIF('续 '!$BI$8:$BI$198,"基础设施"&amp;$B44,'续 '!$F$8:$F$198)+SUMIF(竣!$BJ$26:$BJ$130,"基础设施"&amp;$B44,竣!$F$26:$F$130)</f>
        <v>0</v>
      </c>
      <c r="R44" s="376">
        <f>SUMIF('续 '!$BI$8:$BI$198,"基础设施"&amp;$B44,'续 '!$G$8:$G$198)+SUMIF(竣!$BJ$26:$BJ$130,"基础设施"&amp;$B44,竣!$G$26:$G$130)</f>
        <v>0</v>
      </c>
      <c r="S44" s="376">
        <f>SUMIF(开!$BN$8:$BN$213,"基础设施"&amp;$B44,开!$L$8:$L$213)+SUMIF('续 '!$BI$8:$BI$198,"基础设施"&amp;$B44,'续 '!$L$8:$L$198)+SUMIF(竣!$BJ$26:$BJ$130,"基础设施"&amp;$B44,竣!$L$26:$L$130)</f>
        <v>0</v>
      </c>
      <c r="T44" s="403" t="e">
        <f t="shared" ref="T44:T71" si="35">S44/F44</f>
        <v>#DIV/0!</v>
      </c>
      <c r="U44" s="376">
        <f>SUMIF(开!$BN$8:$BN$213,"基础设施"&amp;$B44,开!$P$8:$P$213)+SUMIF('续 '!$BI$8:$BI$198,"基础设施"&amp;$B44,'续 '!$O$8:$O$198)+SUMIF(竣!$BJ$26:$BJ$130,"基础设施"&amp;$B44,竣!$O$26:$O$130)</f>
        <v>0</v>
      </c>
      <c r="V44" s="402" t="e">
        <f t="shared" si="7"/>
        <v>#DIV/0!</v>
      </c>
      <c r="W44" s="376">
        <f>COUNTIF(开!$BN$8:$BN$213,"民生设施"&amp;$B44)+COUNTIF('续 '!$BI$8:$BI$198,"民生设施"&amp;$B44)+COUNTIF(竣!$BJ$26:$BJ$130,"民生设施"&amp;$B44)</f>
        <v>0</v>
      </c>
      <c r="X44" s="376">
        <f>SUMIF(开!$BN$8:$BN$213,"民生设施"&amp;$B44,开!$F$8:$F$213)+SUMIF('续 '!$BI$8:$BI$198,"民生设施"&amp;$B44,'续 '!$F$8:$F$198)+SUMIF(竣!$BJ$26:$BJ$130,"民生设施"&amp;$B44,竣!$F$26:$F$130)</f>
        <v>0</v>
      </c>
      <c r="Y44" s="376">
        <f>SUMIF('续 '!$BI$8:$BI$198,"民生设施"&amp;$B44,'续 '!$G$8:$G$198)+SUMIF(竣!$BJ$26:$BJ$130,"民生设施"&amp;$B44,竣!$G$26:$G$130)</f>
        <v>0</v>
      </c>
      <c r="Z44" s="376">
        <f>SUMIF(开!$BN$8:$BN$213,"民生设施"&amp;$B44,开!$L$8:$L$213)+SUMIF('续 '!$BI$8:$BI$198,"民生设施"&amp;$B44,'续 '!$L$8:$L$198)+SUMIF(竣!$BJ$26:$BJ$130,"民生设施"&amp;$B44,竣!$L$26:$L$130)</f>
        <v>0</v>
      </c>
      <c r="AA44" s="403" t="e">
        <f t="shared" si="32"/>
        <v>#DIV/0!</v>
      </c>
      <c r="AB44" s="376">
        <f>SUMIF(开!$BN$8:$BN$213,"民生设施"&amp;$B44,开!$P$8:$P$213)+SUMIF('续 '!$BI$8:$BI$198,"民生设施"&amp;$B44,'续 '!$O$8:$O$198)+SUMIF(竣!$BJ$26:$BJ$130,"民生设施"&amp;$B44,竣!$O$26:$O$130)</f>
        <v>0</v>
      </c>
      <c r="AC44" s="402" t="e">
        <f t="shared" si="8"/>
        <v>#DIV/0!</v>
      </c>
    </row>
    <row r="45" s="334" customFormat="1" ht="30" customHeight="1" spans="1:29">
      <c r="A45" s="374">
        <v>24</v>
      </c>
      <c r="B45" s="375" t="s">
        <v>1582</v>
      </c>
      <c r="C45" s="376">
        <f t="shared" si="25"/>
        <v>1</v>
      </c>
      <c r="D45" s="384">
        <f t="shared" si="26"/>
        <v>36363</v>
      </c>
      <c r="E45" s="384">
        <f t="shared" si="27"/>
        <v>9021</v>
      </c>
      <c r="F45" s="384">
        <f t="shared" si="28"/>
        <v>10000</v>
      </c>
      <c r="G45" s="385">
        <f t="shared" si="29"/>
        <v>0</v>
      </c>
      <c r="H45" s="371">
        <f t="shared" si="33"/>
        <v>0</v>
      </c>
      <c r="I45" s="376">
        <f>COUNTIF(开!$BN$8:$BN$213,"产业"&amp;$B45)+COUNTIF('续 '!$BI$8:$BI$198,"产业"&amp;$B45)+COUNTIF(竣!$BJ$26:$BJ$130,"产业"&amp;$B45)</f>
        <v>0</v>
      </c>
      <c r="J45" s="376">
        <f>SUMIF(开!$BN$8:$BN$213,"产业"&amp;$B45,开!$F$8:$F$213)+SUMIF('续 '!$BI$8:$BI$198,"产业"&amp;$B45,'续 '!$F$8:$F$198)+SUMIF(竣!$BJ$26:$BJ$130,"产业"&amp;$B45,竣!$F$26:$F$130)</f>
        <v>0</v>
      </c>
      <c r="K45" s="376">
        <f>SUMIF('续 '!$BI$8:$BI$198,"产业"&amp;$B45,'续 '!$G$8:$G$198)+SUMIF(竣!$BJ$26:$BJ$130,"产业"&amp;$B45,竣!$G$26:$G$130)</f>
        <v>0</v>
      </c>
      <c r="L45" s="376">
        <f>SUMIF(开!$BN$8:$BN$213,"产业"&amp;$B45,开!$L$8:$L$213)+SUMIF('续 '!$BI$8:$BI$198,"产业"&amp;$B45,'续 '!$L$8:$L$198)+SUMIF(竣!$BJ$26:$BJ$130,"产业"&amp;$B45,竣!$L$26:$L$130)</f>
        <v>0</v>
      </c>
      <c r="M45" s="403">
        <f t="shared" si="2"/>
        <v>0</v>
      </c>
      <c r="N45" s="376">
        <f>SUMIF(开!$BN$8:$BN$213,"产业"&amp;$B45,开!$P$8:$P$213)+SUMIF('续 '!$BI$8:$BI$198,"产业"&amp;$B45,'续 '!$O$8:$O$198)+SUMIF(竣!$BJ$26:$BJ$130,"产业"&amp;$B45,竣!$O$26:$O$130)</f>
        <v>0</v>
      </c>
      <c r="O45" s="402" t="e">
        <f t="shared" si="6"/>
        <v>#DIV/0!</v>
      </c>
      <c r="P45" s="376">
        <f>COUNTIF(开!$BN$8:$BN$213,"基础设施"&amp;$B45)+COUNTIF('续 '!$BI$8:$BI$198,"基础设施"&amp;$B45)+COUNTIF(竣!$BJ$26:$BJ$130,"基础设施"&amp;$B45)</f>
        <v>1</v>
      </c>
      <c r="Q45" s="376">
        <f>SUMIF(开!$BN$8:$BN$213,"基础设施"&amp;$B45,开!$F$8:$F$213)+SUMIF('续 '!$BI$8:$BI$198,"基础设施"&amp;$B45,'续 '!$F$8:$F$198)+SUMIF(竣!$BJ$26:$BJ$130,"基础设施"&amp;$B45,竣!$F$26:$F$130)</f>
        <v>36363</v>
      </c>
      <c r="R45" s="376">
        <f>SUMIF('续 '!$BI$8:$BI$198,"基础设施"&amp;$B45,'续 '!$G$8:$G$198)+SUMIF(竣!$BJ$26:$BJ$130,"基础设施"&amp;$B45,竣!$G$26:$G$130)</f>
        <v>9021</v>
      </c>
      <c r="S45" s="376">
        <f>SUMIF(开!$BN$8:$BN$213,"基础设施"&amp;$B45,开!$L$8:$L$213)+SUMIF('续 '!$BI$8:$BI$198,"基础设施"&amp;$B45,'续 '!$L$8:$L$198)+SUMIF(竣!$BJ$26:$BJ$130,"基础设施"&amp;$B45,竣!$L$26:$L$130)</f>
        <v>10000</v>
      </c>
      <c r="T45" s="403">
        <f t="shared" si="3"/>
        <v>1</v>
      </c>
      <c r="U45" s="376">
        <f>SUMIF(开!$BN$8:$BN$213,"基础设施"&amp;$B45,开!$P$8:$P$213)+SUMIF('续 '!$BI$8:$BI$198,"基础设施"&amp;$B45,'续 '!$O$8:$O$198)+SUMIF(竣!$BJ$26:$BJ$130,"基础设施"&amp;$B45,竣!$O$26:$O$130)</f>
        <v>0</v>
      </c>
      <c r="V45" s="402">
        <f t="shared" si="7"/>
        <v>0</v>
      </c>
      <c r="W45" s="376">
        <f>COUNTIF(开!$BN$8:$BN$213,"民生设施"&amp;$B45)+COUNTIF('续 '!$BI$8:$BI$198,"民生设施"&amp;$B45)+COUNTIF(竣!$BJ$26:$BJ$130,"民生设施"&amp;$B45)</f>
        <v>0</v>
      </c>
      <c r="X45" s="376">
        <f>SUMIF(开!$BN$8:$BN$213,"民生设施"&amp;$B45,开!$F$8:$F$213)+SUMIF('续 '!$BI$8:$BI$198,"民生设施"&amp;$B45,'续 '!$F$8:$F$198)+SUMIF(竣!$BJ$26:$BJ$130,"民生设施"&amp;$B45,竣!$F$26:$F$130)</f>
        <v>0</v>
      </c>
      <c r="Y45" s="376">
        <f>SUMIF('续 '!$BI$8:$BI$198,"民生设施"&amp;$B45,'续 '!$G$8:$G$198)+SUMIF(竣!$BJ$26:$BJ$130,"民生设施"&amp;$B45,竣!$G$26:$G$130)</f>
        <v>0</v>
      </c>
      <c r="Z45" s="376">
        <f>SUMIF(开!$BN$8:$BN$213,"民生设施"&amp;$B45,开!$L$8:$L$213)+SUMIF('续 '!$BI$8:$BI$198,"民生设施"&amp;$B45,'续 '!$L$8:$L$198)+SUMIF(竣!$BJ$26:$BJ$130,"民生设施"&amp;$B45,竣!$L$26:$L$130)</f>
        <v>0</v>
      </c>
      <c r="AA45" s="403">
        <f t="shared" si="4"/>
        <v>0</v>
      </c>
      <c r="AB45" s="376">
        <f>SUMIF(开!$BN$8:$BN$213,"民生设施"&amp;$B45,开!$P$8:$P$213)+SUMIF('续 '!$BI$8:$BI$198,"民生设施"&amp;$B45,'续 '!$O$8:$O$198)+SUMIF(竣!$BJ$26:$BJ$130,"民生设施"&amp;$B45,竣!$O$26:$O$130)</f>
        <v>0</v>
      </c>
      <c r="AC45" s="402" t="e">
        <f t="shared" si="8"/>
        <v>#DIV/0!</v>
      </c>
    </row>
    <row r="46" s="334" customFormat="1" ht="27" customHeight="1" spans="1:29">
      <c r="A46" s="374">
        <v>25</v>
      </c>
      <c r="B46" s="375" t="s">
        <v>919</v>
      </c>
      <c r="C46" s="376">
        <f t="shared" si="25"/>
        <v>1</v>
      </c>
      <c r="D46" s="384">
        <f t="shared" si="26"/>
        <v>16000</v>
      </c>
      <c r="E46" s="384">
        <f t="shared" si="27"/>
        <v>6000</v>
      </c>
      <c r="F46" s="384">
        <f t="shared" si="28"/>
        <v>10000</v>
      </c>
      <c r="G46" s="385">
        <f t="shared" si="29"/>
        <v>0</v>
      </c>
      <c r="H46" s="371">
        <f t="shared" si="33"/>
        <v>0</v>
      </c>
      <c r="I46" s="376">
        <f>COUNTIF(开!$BN$8:$BN$213,"产业"&amp;$B46)+COUNTIF('续 '!$BI$8:$BI$198,"产业"&amp;$B46)+COUNTIF(竣!$BJ$26:$BJ$130,"产业"&amp;$B46)</f>
        <v>1</v>
      </c>
      <c r="J46" s="376">
        <f>SUMIF(开!$BN$8:$BN$213,"产业"&amp;$B46,开!$F$8:$F$213)+SUMIF('续 '!$BI$8:$BI$198,"产业"&amp;$B46,'续 '!$F$8:$F$198)+SUMIF(竣!$BJ$26:$BJ$130,"产业"&amp;$B46,竣!$F$26:$F$130)</f>
        <v>16000</v>
      </c>
      <c r="K46" s="376">
        <f>SUMIF('续 '!$BI$8:$BI$198,"产业"&amp;$B46,'续 '!$G$8:$G$198)+SUMIF(竣!$BJ$26:$BJ$130,"产业"&amp;$B46,竣!$G$26:$G$130)</f>
        <v>6000</v>
      </c>
      <c r="L46" s="376">
        <f>SUMIF(开!$BN$8:$BN$213,"产业"&amp;$B46,开!$L$8:$L$213)+SUMIF('续 '!$BI$8:$BI$198,"产业"&amp;$B46,'续 '!$L$8:$L$198)+SUMIF(竣!$BJ$26:$BJ$130,"产业"&amp;$B46,竣!$L$26:$L$130)</f>
        <v>10000</v>
      </c>
      <c r="M46" s="403">
        <f t="shared" si="2"/>
        <v>1</v>
      </c>
      <c r="N46" s="376">
        <f>SUMIF(开!$BN$8:$BN$213,"产业"&amp;$B46,开!$P$8:$P$213)+SUMIF('续 '!$BI$8:$BI$198,"产业"&amp;$B46,'续 '!$O$8:$O$198)+SUMIF(竣!$BJ$26:$BJ$130,"产业"&amp;$B46,竣!$O$26:$O$130)</f>
        <v>0</v>
      </c>
      <c r="O46" s="402">
        <f t="shared" si="6"/>
        <v>0</v>
      </c>
      <c r="P46" s="376">
        <f>COUNTIF(开!$BN$8:$BN$213,"基础设施"&amp;$B46)+COUNTIF('续 '!$BI$8:$BI$198,"基础设施"&amp;$B46)+COUNTIF(竣!$BJ$26:$BJ$130,"基础设施"&amp;$B46)</f>
        <v>0</v>
      </c>
      <c r="Q46" s="376">
        <f>SUMIF(开!$BN$8:$BN$213,"基础设施"&amp;$B46,开!$F$8:$F$213)+SUMIF('续 '!$BI$8:$BI$198,"基础设施"&amp;$B46,'续 '!$F$8:$F$198)+SUMIF(竣!$BJ$26:$BJ$130,"基础设施"&amp;$B46,竣!$F$26:$F$130)</f>
        <v>0</v>
      </c>
      <c r="R46" s="376">
        <f>SUMIF('续 '!$BI$8:$BI$198,"基础设施"&amp;$B46,'续 '!$G$8:$G$198)+SUMIF(竣!$BJ$26:$BJ$130,"基础设施"&amp;$B46,竣!$G$26:$G$130)</f>
        <v>0</v>
      </c>
      <c r="S46" s="376">
        <f>SUMIF(开!$BN$8:$BN$213,"基础设施"&amp;$B46,开!$L$8:$L$213)+SUMIF('续 '!$BI$8:$BI$198,"基础设施"&amp;$B46,'续 '!$L$8:$L$198)+SUMIF(竣!$BJ$26:$BJ$130,"基础设施"&amp;$B46,竣!$L$26:$L$130)</f>
        <v>0</v>
      </c>
      <c r="T46" s="403">
        <f t="shared" si="3"/>
        <v>0</v>
      </c>
      <c r="U46" s="376">
        <f>SUMIF(开!$BN$8:$BN$213,"基础设施"&amp;$B46,开!$P$8:$P$213)+SUMIF('续 '!$BI$8:$BI$198,"基础设施"&amp;$B46,'续 '!$O$8:$O$198)+SUMIF(竣!$BJ$26:$BJ$130,"基础设施"&amp;$B46,竣!$O$26:$O$130)</f>
        <v>0</v>
      </c>
      <c r="V46" s="402" t="e">
        <f t="shared" si="7"/>
        <v>#DIV/0!</v>
      </c>
      <c r="W46" s="376">
        <f>COUNTIF(开!$BN$8:$BN$213,"民生设施"&amp;$B46)+COUNTIF('续 '!$BI$8:$BI$198,"民生设施"&amp;$B46)+COUNTIF(竣!$BJ$26:$BJ$130,"民生设施"&amp;$B46)</f>
        <v>0</v>
      </c>
      <c r="X46" s="376">
        <f>SUMIF(开!$BN$8:$BN$213,"民生设施"&amp;$B46,开!$F$8:$F$213)+SUMIF('续 '!$BI$8:$BI$198,"民生设施"&amp;$B46,'续 '!$F$8:$F$198)+SUMIF(竣!$BJ$26:$BJ$130,"民生设施"&amp;$B46,竣!$F$26:$F$130)</f>
        <v>0</v>
      </c>
      <c r="Y46" s="376">
        <f>SUMIF('续 '!$BI$8:$BI$198,"民生设施"&amp;$B46,'续 '!$G$8:$G$198)+SUMIF(竣!$BJ$26:$BJ$130,"民生设施"&amp;$B46,竣!$G$26:$G$130)</f>
        <v>0</v>
      </c>
      <c r="Z46" s="376">
        <f>SUMIF(开!$BN$8:$BN$213,"民生设施"&amp;$B46,开!$L$8:$L$213)+SUMIF('续 '!$BI$8:$BI$198,"民生设施"&amp;$B46,'续 '!$L$8:$L$198)+SUMIF(竣!$BJ$26:$BJ$130,"民生设施"&amp;$B46,竣!$L$26:$L$130)</f>
        <v>0</v>
      </c>
      <c r="AA46" s="403">
        <f t="shared" si="4"/>
        <v>0</v>
      </c>
      <c r="AB46" s="376">
        <f>SUMIF(开!$BN$8:$BN$213,"民生设施"&amp;$B46,开!$P$8:$P$213)+SUMIF('续 '!$BI$8:$BI$198,"民生设施"&amp;$B46,'续 '!$O$8:$O$198)+SUMIF(竣!$BJ$26:$BJ$130,"民生设施"&amp;$B46,竣!$O$26:$O$130)</f>
        <v>0</v>
      </c>
      <c r="AC46" s="402" t="e">
        <f t="shared" si="8"/>
        <v>#DIV/0!</v>
      </c>
    </row>
    <row r="47" s="334" customFormat="1" ht="30" customHeight="1" spans="1:29">
      <c r="A47" s="374">
        <v>26</v>
      </c>
      <c r="B47" s="375" t="s">
        <v>924</v>
      </c>
      <c r="C47" s="376">
        <f t="shared" si="25"/>
        <v>1</v>
      </c>
      <c r="D47" s="384">
        <f t="shared" si="26"/>
        <v>7724</v>
      </c>
      <c r="E47" s="384">
        <f t="shared" si="27"/>
        <v>5323</v>
      </c>
      <c r="F47" s="384">
        <f t="shared" si="28"/>
        <v>2401</v>
      </c>
      <c r="G47" s="385">
        <f t="shared" si="29"/>
        <v>0</v>
      </c>
      <c r="H47" s="371">
        <f t="shared" si="33"/>
        <v>0</v>
      </c>
      <c r="I47" s="376">
        <f>COUNTIF(开!$BN$8:$BN$213,"产业"&amp;$B47)+COUNTIF('续 '!$BI$8:$BI$198,"产业"&amp;$B47)+COUNTIF(竣!$BJ$26:$BJ$130,"产业"&amp;$B47)</f>
        <v>1</v>
      </c>
      <c r="J47" s="376">
        <f>SUMIF(开!$BN$8:$BN$213,"产业"&amp;$B47,开!$F$8:$F$213)+SUMIF('续 '!$BI$8:$BI$198,"产业"&amp;$B47,'续 '!$F$8:$F$198)+SUMIF(竣!$BJ$26:$BJ$130,"产业"&amp;$B47,竣!$F$26:$F$130)</f>
        <v>7724</v>
      </c>
      <c r="K47" s="376">
        <f>SUMIF('续 '!$BI$8:$BI$198,"产业"&amp;$B47,'续 '!$G$8:$G$198)+SUMIF(竣!$BJ$26:$BJ$130,"产业"&amp;$B47,竣!$G$26:$G$130)</f>
        <v>5323</v>
      </c>
      <c r="L47" s="376">
        <f>SUMIF(开!$BN$8:$BN$213,"产业"&amp;$B47,开!$L$8:$L$213)+SUMIF('续 '!$BI$8:$BI$198,"产业"&amp;$B47,'续 '!$L$8:$L$198)+SUMIF(竣!$BJ$26:$BJ$130,"产业"&amp;$B47,竣!$L$26:$L$130)</f>
        <v>2401</v>
      </c>
      <c r="M47" s="403">
        <f t="shared" si="2"/>
        <v>1</v>
      </c>
      <c r="N47" s="376">
        <f>SUMIF(开!$BN$8:$BN$213,"产业"&amp;$B47,开!$P$8:$P$213)+SUMIF('续 '!$BI$8:$BI$198,"产业"&amp;$B47,'续 '!$O$8:$O$198)+SUMIF(竣!$BJ$26:$BJ$130,"产业"&amp;$B47,竣!$O$26:$O$130)</f>
        <v>0</v>
      </c>
      <c r="O47" s="402">
        <f t="shared" si="6"/>
        <v>0</v>
      </c>
      <c r="P47" s="376">
        <f>COUNTIF(开!$BN$8:$BN$213,"基础设施"&amp;$B47)+COUNTIF('续 '!$BI$8:$BI$198,"基础设施"&amp;$B47)+COUNTIF(竣!$BJ$26:$BJ$130,"基础设施"&amp;$B47)</f>
        <v>0</v>
      </c>
      <c r="Q47" s="376">
        <f>SUMIF(开!$BN$8:$BN$213,"基础设施"&amp;$B47,开!$F$8:$F$213)+SUMIF('续 '!$BI$8:$BI$198,"基础设施"&amp;$B47,'续 '!$F$8:$F$198)+SUMIF(竣!$BJ$26:$BJ$130,"基础设施"&amp;$B47,竣!$F$26:$F$130)</f>
        <v>0</v>
      </c>
      <c r="R47" s="376">
        <f>SUMIF('续 '!$BI$8:$BI$198,"基础设施"&amp;$B47,'续 '!$G$8:$G$198)+SUMIF(竣!$BJ$26:$BJ$130,"基础设施"&amp;$B47,竣!$G$26:$G$130)</f>
        <v>0</v>
      </c>
      <c r="S47" s="376">
        <f>SUMIF(开!$BN$8:$BN$213,"基础设施"&amp;$B47,开!$L$8:$L$213)+SUMIF('续 '!$BI$8:$BI$198,"基础设施"&amp;$B47,'续 '!$L$8:$L$198)+SUMIF(竣!$BJ$26:$BJ$130,"基础设施"&amp;$B47,竣!$L$26:$L$130)</f>
        <v>0</v>
      </c>
      <c r="T47" s="403">
        <f t="shared" si="3"/>
        <v>0</v>
      </c>
      <c r="U47" s="376">
        <f>SUMIF(开!$BN$8:$BN$213,"基础设施"&amp;$B47,开!$P$8:$P$213)+SUMIF('续 '!$BI$8:$BI$198,"基础设施"&amp;$B47,'续 '!$O$8:$O$198)+SUMIF(竣!$BJ$26:$BJ$130,"基础设施"&amp;$B47,竣!$O$26:$O$130)</f>
        <v>0</v>
      </c>
      <c r="V47" s="402" t="e">
        <f t="shared" si="7"/>
        <v>#DIV/0!</v>
      </c>
      <c r="W47" s="376">
        <f>COUNTIF(开!$BN$8:$BN$213,"民生设施"&amp;$B47)+COUNTIF('续 '!$BI$8:$BI$198,"民生设施"&amp;$B47)+COUNTIF(竣!$BJ$26:$BJ$130,"民生设施"&amp;$B47)</f>
        <v>0</v>
      </c>
      <c r="X47" s="376">
        <f>SUMIF(开!$BN$8:$BN$213,"民生设施"&amp;$B47,开!$F$8:$F$213)+SUMIF('续 '!$BI$8:$BI$198,"民生设施"&amp;$B47,'续 '!$F$8:$F$198)+SUMIF(竣!$BJ$26:$BJ$130,"民生设施"&amp;$B47,竣!$F$26:$F$130)</f>
        <v>0</v>
      </c>
      <c r="Y47" s="376">
        <f>SUMIF('续 '!$BI$8:$BI$198,"民生设施"&amp;$B47,'续 '!$G$8:$G$198)+SUMIF(竣!$BJ$26:$BJ$130,"民生设施"&amp;$B47,竣!$G$26:$G$130)</f>
        <v>0</v>
      </c>
      <c r="Z47" s="376">
        <f>SUMIF(开!$BN$8:$BN$213,"民生设施"&amp;$B47,开!$L$8:$L$213)+SUMIF('续 '!$BI$8:$BI$198,"民生设施"&amp;$B47,'续 '!$L$8:$L$198)+SUMIF(竣!$BJ$26:$BJ$130,"民生设施"&amp;$B47,竣!$L$26:$L$130)</f>
        <v>0</v>
      </c>
      <c r="AA47" s="403">
        <f t="shared" si="4"/>
        <v>0</v>
      </c>
      <c r="AB47" s="376">
        <f>SUMIF(开!$BN$8:$BN$213,"民生设施"&amp;$B47,开!$P$8:$P$213)+SUMIF('续 '!$BI$8:$BI$198,"民生设施"&amp;$B47,'续 '!$O$8:$O$198)+SUMIF(竣!$BJ$26:$BJ$130,"民生设施"&amp;$B47,竣!$O$26:$O$130)</f>
        <v>0</v>
      </c>
      <c r="AC47" s="402" t="e">
        <f t="shared" si="8"/>
        <v>#DIV/0!</v>
      </c>
    </row>
    <row r="48" s="334" customFormat="1" ht="25.15" customHeight="1" spans="1:29">
      <c r="A48" s="374"/>
      <c r="B48" s="375" t="s">
        <v>2782</v>
      </c>
      <c r="C48" s="376">
        <f t="shared" si="25"/>
        <v>0</v>
      </c>
      <c r="D48" s="384">
        <f t="shared" si="26"/>
        <v>0</v>
      </c>
      <c r="E48" s="384">
        <f t="shared" si="27"/>
        <v>0</v>
      </c>
      <c r="F48" s="384">
        <f t="shared" si="28"/>
        <v>0</v>
      </c>
      <c r="G48" s="385">
        <f t="shared" si="29"/>
        <v>0</v>
      </c>
      <c r="H48" s="371" t="e">
        <f t="shared" si="33"/>
        <v>#DIV/0!</v>
      </c>
      <c r="I48" s="376">
        <f>COUNTIF(开!$BN$8:$BN$213,"产业"&amp;$B48)+COUNTIF('续 '!$BI$8:$BI$198,"产业"&amp;$B48)+COUNTIF(竣!$BJ$26:$BJ$130,"产业"&amp;$B48)</f>
        <v>0</v>
      </c>
      <c r="J48" s="376">
        <f>SUMIF(开!$BN$8:$BN$213,"产业"&amp;$B48,开!$F$8:$F$213)+SUMIF('续 '!$BI$8:$BI$198,"产业"&amp;$B48,'续 '!$F$8:$F$198)+SUMIF(竣!$BJ$26:$BJ$130,"产业"&amp;$B48,竣!$F$26:$F$130)</f>
        <v>0</v>
      </c>
      <c r="K48" s="376">
        <f>SUMIF('续 '!$BI$8:$BI$198,"产业"&amp;$B48,'续 '!$G$8:$G$198)+SUMIF(竣!$BJ$26:$BJ$130,"产业"&amp;$B48,竣!$G$26:$G$130)</f>
        <v>0</v>
      </c>
      <c r="L48" s="376">
        <f>SUMIF(开!$BN$8:$BN$213,"产业"&amp;$B48,开!$L$8:$L$213)+SUMIF('续 '!$BI$8:$BI$198,"产业"&amp;$B48,'续 '!$L$8:$L$198)+SUMIF(竣!$BJ$26:$BJ$130,"产业"&amp;$B48,竣!$L$26:$L$130)</f>
        <v>0</v>
      </c>
      <c r="M48" s="403" t="e">
        <f t="shared" si="34"/>
        <v>#DIV/0!</v>
      </c>
      <c r="N48" s="376">
        <f>SUMIF(开!$BN$8:$BN$213,"产业"&amp;$B48,开!$P$8:$P$213)+SUMIF('续 '!$BI$8:$BI$198,"产业"&amp;$B48,'续 '!$O$8:$O$198)+SUMIF(竣!$BJ$26:$BJ$130,"产业"&amp;$B48,竣!$O$26:$O$130)</f>
        <v>0</v>
      </c>
      <c r="O48" s="402" t="e">
        <f t="shared" si="6"/>
        <v>#DIV/0!</v>
      </c>
      <c r="P48" s="376">
        <f>COUNTIF(开!$BN$8:$BN$213,"基础设施"&amp;$B48)+COUNTIF('续 '!$BI$8:$BI$198,"基础设施"&amp;$B48)+COUNTIF(竣!$BJ$26:$BJ$130,"基础设施"&amp;$B48)</f>
        <v>0</v>
      </c>
      <c r="Q48" s="376">
        <f>SUMIF(开!$BN$8:$BN$213,"基础设施"&amp;$B48,开!$F$8:$F$213)+SUMIF('续 '!$BI$8:$BI$198,"基础设施"&amp;$B48,'续 '!$F$8:$F$198)+SUMIF(竣!$BJ$26:$BJ$130,"基础设施"&amp;$B48,竣!$F$26:$F$130)</f>
        <v>0</v>
      </c>
      <c r="R48" s="376">
        <f>SUMIF('续 '!$BI$8:$BI$198,"基础设施"&amp;$B48,'续 '!$G$8:$G$198)+SUMIF(竣!$BJ$26:$BJ$130,"基础设施"&amp;$B48,竣!$G$26:$G$130)</f>
        <v>0</v>
      </c>
      <c r="S48" s="376">
        <f>SUMIF(开!$BN$8:$BN$213,"基础设施"&amp;$B48,开!$L$8:$L$213)+SUMIF('续 '!$BI$8:$BI$198,"基础设施"&amp;$B48,'续 '!$L$8:$L$198)+SUMIF(竣!$BJ$26:$BJ$130,"基础设施"&amp;$B48,竣!$L$26:$L$130)</f>
        <v>0</v>
      </c>
      <c r="T48" s="403" t="e">
        <f t="shared" si="35"/>
        <v>#DIV/0!</v>
      </c>
      <c r="U48" s="376">
        <f>SUMIF(开!$BN$8:$BN$213,"基础设施"&amp;$B48,开!$P$8:$P$213)+SUMIF('续 '!$BI$8:$BI$198,"基础设施"&amp;$B48,'续 '!$O$8:$O$198)+SUMIF(竣!$BJ$26:$BJ$130,"基础设施"&amp;$B48,竣!$O$26:$O$130)</f>
        <v>0</v>
      </c>
      <c r="V48" s="402" t="e">
        <f t="shared" si="7"/>
        <v>#DIV/0!</v>
      </c>
      <c r="W48" s="376">
        <f>COUNTIF(开!$BN$8:$BN$213,"民生设施"&amp;$B48)+COUNTIF('续 '!$BI$8:$BI$198,"民生设施"&amp;$B48)+COUNTIF(竣!$BJ$26:$BJ$130,"民生设施"&amp;$B48)</f>
        <v>0</v>
      </c>
      <c r="X48" s="376">
        <f>SUMIF(开!$BN$8:$BN$213,"民生设施"&amp;$B48,开!$F$8:$F$213)+SUMIF('续 '!$BI$8:$BI$198,"民生设施"&amp;$B48,'续 '!$F$8:$F$198)+SUMIF(竣!$BJ$26:$BJ$130,"民生设施"&amp;$B48,竣!$F$26:$F$130)</f>
        <v>0</v>
      </c>
      <c r="Y48" s="376">
        <f>SUMIF('续 '!$BI$8:$BI$198,"民生设施"&amp;$B48,'续 '!$G$8:$G$198)+SUMIF(竣!$BJ$26:$BJ$130,"民生设施"&amp;$B48,竣!$G$26:$G$130)</f>
        <v>0</v>
      </c>
      <c r="Z48" s="376">
        <f>SUMIF(开!$BN$8:$BN$213,"民生设施"&amp;$B48,开!$L$8:$L$213)+SUMIF('续 '!$BI$8:$BI$198,"民生设施"&amp;$B48,'续 '!$L$8:$L$198)+SUMIF(竣!$BJ$26:$BJ$130,"民生设施"&amp;$B48,竣!$L$26:$L$130)</f>
        <v>0</v>
      </c>
      <c r="AA48" s="403" t="e">
        <f t="shared" si="32"/>
        <v>#DIV/0!</v>
      </c>
      <c r="AB48" s="376">
        <f>SUMIF(开!$BN$8:$BN$213,"民生设施"&amp;$B48,开!$P$8:$P$213)+SUMIF('续 '!$BI$8:$BI$198,"民生设施"&amp;$B48,'续 '!$O$8:$O$198)+SUMIF(竣!$BJ$26:$BJ$130,"民生设施"&amp;$B48,竣!$O$26:$O$130)</f>
        <v>0</v>
      </c>
      <c r="AC48" s="402" t="e">
        <f t="shared" si="8"/>
        <v>#DIV/0!</v>
      </c>
    </row>
    <row r="49" s="334" customFormat="1" ht="25.15" customHeight="1" spans="1:29">
      <c r="A49" s="374"/>
      <c r="B49" s="381" t="s">
        <v>2783</v>
      </c>
      <c r="C49" s="376">
        <f t="shared" si="25"/>
        <v>0</v>
      </c>
      <c r="D49" s="384">
        <f t="shared" si="26"/>
        <v>0</v>
      </c>
      <c r="E49" s="384">
        <f t="shared" si="27"/>
        <v>0</v>
      </c>
      <c r="F49" s="384">
        <f t="shared" si="28"/>
        <v>0</v>
      </c>
      <c r="G49" s="385">
        <f t="shared" si="29"/>
        <v>0</v>
      </c>
      <c r="H49" s="371" t="e">
        <f t="shared" si="33"/>
        <v>#DIV/0!</v>
      </c>
      <c r="I49" s="376">
        <f>COUNTIF(开!$BN$8:$BN$213,"产业"&amp;$B49)+COUNTIF('续 '!$BI$8:$BI$198,"产业"&amp;$B49)+COUNTIF(竣!$BJ$26:$BJ$130,"产业"&amp;$B49)</f>
        <v>0</v>
      </c>
      <c r="J49" s="376">
        <f>SUMIF(开!$BN$8:$BN$213,"产业"&amp;$B49,开!$F$8:$F$213)+SUMIF('续 '!$BI$8:$BI$198,"产业"&amp;$B49,'续 '!$F$8:$F$198)+SUMIF(竣!$BJ$26:$BJ$130,"产业"&amp;$B49,竣!$F$26:$F$130)</f>
        <v>0</v>
      </c>
      <c r="K49" s="376">
        <f>SUMIF('续 '!$BI$8:$BI$198,"产业"&amp;$B49,'续 '!$G$8:$G$198)+SUMIF(竣!$BJ$26:$BJ$130,"产业"&amp;$B49,竣!$G$26:$G$130)</f>
        <v>0</v>
      </c>
      <c r="L49" s="376">
        <f>SUMIF(开!$BN$8:$BN$213,"产业"&amp;$B49,开!$L$8:$L$213)+SUMIF('续 '!$BI$8:$BI$198,"产业"&amp;$B49,'续 '!$L$8:$L$198)+SUMIF(竣!$BJ$26:$BJ$130,"产业"&amp;$B49,竣!$L$26:$L$130)</f>
        <v>0</v>
      </c>
      <c r="M49" s="403" t="e">
        <f t="shared" si="34"/>
        <v>#DIV/0!</v>
      </c>
      <c r="N49" s="376">
        <f>SUMIF(开!$BN$8:$BN$213,"产业"&amp;$B49,开!$P$8:$P$213)+SUMIF('续 '!$BI$8:$BI$198,"产业"&amp;$B49,'续 '!$O$8:$O$198)+SUMIF(竣!$BJ$26:$BJ$130,"产业"&amp;$B49,竣!$O$26:$O$130)</f>
        <v>0</v>
      </c>
      <c r="O49" s="402" t="e">
        <f t="shared" si="6"/>
        <v>#DIV/0!</v>
      </c>
      <c r="P49" s="376">
        <f>COUNTIF(开!$BN$8:$BN$213,"基础设施"&amp;$B49)+COUNTIF('续 '!$BI$8:$BI$198,"基础设施"&amp;$B49)+COUNTIF(竣!$BJ$26:$BJ$130,"基础设施"&amp;$B49)</f>
        <v>0</v>
      </c>
      <c r="Q49" s="376">
        <f>SUMIF(开!$BN$8:$BN$213,"基础设施"&amp;$B49,开!$F$8:$F$213)+SUMIF('续 '!$BI$8:$BI$198,"基础设施"&amp;$B49,'续 '!$F$8:$F$198)+SUMIF(竣!$BJ$26:$BJ$130,"基础设施"&amp;$B49,竣!$F$26:$F$130)</f>
        <v>0</v>
      </c>
      <c r="R49" s="376">
        <f>SUMIF('续 '!$BI$8:$BI$198,"基础设施"&amp;$B49,'续 '!$G$8:$G$198)+SUMIF(竣!$BJ$26:$BJ$130,"基础设施"&amp;$B49,竣!$G$26:$G$130)</f>
        <v>0</v>
      </c>
      <c r="S49" s="376">
        <f>SUMIF(开!$BN$8:$BN$213,"基础设施"&amp;$B49,开!$L$8:$L$213)+SUMIF('续 '!$BI$8:$BI$198,"基础设施"&amp;$B49,'续 '!$L$8:$L$198)+SUMIF(竣!$BJ$26:$BJ$130,"基础设施"&amp;$B49,竣!$L$26:$L$130)</f>
        <v>0</v>
      </c>
      <c r="T49" s="403" t="e">
        <f t="shared" si="35"/>
        <v>#DIV/0!</v>
      </c>
      <c r="U49" s="376">
        <f>SUMIF(开!$BN$8:$BN$213,"基础设施"&amp;$B49,开!$P$8:$P$213)+SUMIF('续 '!$BI$8:$BI$198,"基础设施"&amp;$B49,'续 '!$O$8:$O$198)+SUMIF(竣!$BJ$26:$BJ$130,"基础设施"&amp;$B49,竣!$O$26:$O$130)</f>
        <v>0</v>
      </c>
      <c r="V49" s="402" t="e">
        <f t="shared" si="7"/>
        <v>#DIV/0!</v>
      </c>
      <c r="W49" s="376">
        <f>COUNTIF(开!$BN$8:$BN$213,"民生设施"&amp;$B49)+COUNTIF('续 '!$BI$8:$BI$198,"民生设施"&amp;$B49)+COUNTIF(竣!$BJ$26:$BJ$130,"民生设施"&amp;$B49)</f>
        <v>0</v>
      </c>
      <c r="X49" s="376">
        <f>SUMIF(开!$BN$8:$BN$213,"民生设施"&amp;$B49,开!$F$8:$F$213)+SUMIF('续 '!$BI$8:$BI$198,"民生设施"&amp;$B49,'续 '!$F$8:$F$198)+SUMIF(竣!$BJ$26:$BJ$130,"民生设施"&amp;$B49,竣!$F$26:$F$130)</f>
        <v>0</v>
      </c>
      <c r="Y49" s="376">
        <f>SUMIF('续 '!$BI$8:$BI$198,"民生设施"&amp;$B49,'续 '!$G$8:$G$198)+SUMIF(竣!$BJ$26:$BJ$130,"民生设施"&amp;$B49,竣!$G$26:$G$130)</f>
        <v>0</v>
      </c>
      <c r="Z49" s="376">
        <f>SUMIF(开!$BN$8:$BN$213,"民生设施"&amp;$B49,开!$L$8:$L$213)+SUMIF('续 '!$BI$8:$BI$198,"民生设施"&amp;$B49,'续 '!$L$8:$L$198)+SUMIF(竣!$BJ$26:$BJ$130,"民生设施"&amp;$B49,竣!$L$26:$L$130)</f>
        <v>0</v>
      </c>
      <c r="AA49" s="403" t="e">
        <f t="shared" si="32"/>
        <v>#DIV/0!</v>
      </c>
      <c r="AB49" s="376">
        <f>SUMIF(开!$BN$8:$BN$213,"民生设施"&amp;$B49,开!$P$8:$P$213)+SUMIF('续 '!$BI$8:$BI$198,"民生设施"&amp;$B49,'续 '!$O$8:$O$198)+SUMIF(竣!$BJ$26:$BJ$130,"民生设施"&amp;$B49,竣!$O$26:$O$130)</f>
        <v>0</v>
      </c>
      <c r="AC49" s="402" t="e">
        <f t="shared" si="8"/>
        <v>#DIV/0!</v>
      </c>
    </row>
    <row r="50" s="334" customFormat="1" ht="25.15" customHeight="1" spans="1:29">
      <c r="A50" s="374"/>
      <c r="B50" s="381" t="s">
        <v>2784</v>
      </c>
      <c r="C50" s="376">
        <f t="shared" si="25"/>
        <v>0</v>
      </c>
      <c r="D50" s="384">
        <f t="shared" si="26"/>
        <v>0</v>
      </c>
      <c r="E50" s="384">
        <f t="shared" si="27"/>
        <v>0</v>
      </c>
      <c r="F50" s="384">
        <f t="shared" si="28"/>
        <v>0</v>
      </c>
      <c r="G50" s="385">
        <f t="shared" si="29"/>
        <v>0</v>
      </c>
      <c r="H50" s="371" t="e">
        <f t="shared" si="33"/>
        <v>#DIV/0!</v>
      </c>
      <c r="I50" s="376">
        <f>COUNTIF(开!$BN$8:$BN$213,"产业"&amp;$B50)+COUNTIF('续 '!$BI$8:$BI$198,"产业"&amp;$B50)+COUNTIF(竣!$BJ$26:$BJ$130,"产业"&amp;$B50)</f>
        <v>0</v>
      </c>
      <c r="J50" s="376">
        <f>SUMIF(开!$BN$8:$BN$213,"产业"&amp;$B50,开!$F$8:$F$213)+SUMIF('续 '!$BI$8:$BI$198,"产业"&amp;$B50,'续 '!$F$8:$F$198)+SUMIF(竣!$BJ$26:$BJ$130,"产业"&amp;$B50,竣!$F$26:$F$130)</f>
        <v>0</v>
      </c>
      <c r="K50" s="376">
        <f>SUMIF('续 '!$BI$8:$BI$198,"产业"&amp;$B50,'续 '!$G$8:$G$198)+SUMIF(竣!$BJ$26:$BJ$130,"产业"&amp;$B50,竣!$G$26:$G$130)</f>
        <v>0</v>
      </c>
      <c r="L50" s="376">
        <f>SUMIF(开!$BN$8:$BN$213,"产业"&amp;$B50,开!$L$8:$L$213)+SUMIF('续 '!$BI$8:$BI$198,"产业"&amp;$B50,'续 '!$L$8:$L$198)+SUMIF(竣!$BJ$26:$BJ$130,"产业"&amp;$B50,竣!$L$26:$L$130)</f>
        <v>0</v>
      </c>
      <c r="M50" s="403" t="e">
        <f t="shared" si="34"/>
        <v>#DIV/0!</v>
      </c>
      <c r="N50" s="376">
        <f>SUMIF(开!$BN$8:$BN$213,"产业"&amp;$B50,开!$P$8:$P$213)+SUMIF('续 '!$BI$8:$BI$198,"产业"&amp;$B50,'续 '!$O$8:$O$198)+SUMIF(竣!$BJ$26:$BJ$130,"产业"&amp;$B50,竣!$O$26:$O$130)</f>
        <v>0</v>
      </c>
      <c r="O50" s="402" t="e">
        <f t="shared" si="6"/>
        <v>#DIV/0!</v>
      </c>
      <c r="P50" s="376">
        <f>COUNTIF(开!$BN$8:$BN$213,"基础设施"&amp;$B50)+COUNTIF('续 '!$BI$8:$BI$198,"基础设施"&amp;$B50)+COUNTIF(竣!$BJ$26:$BJ$130,"基础设施"&amp;$B50)</f>
        <v>0</v>
      </c>
      <c r="Q50" s="376">
        <f>SUMIF(开!$BN$8:$BN$213,"基础设施"&amp;$B50,开!$F$8:$F$213)+SUMIF('续 '!$BI$8:$BI$198,"基础设施"&amp;$B50,'续 '!$F$8:$F$198)+SUMIF(竣!$BJ$26:$BJ$130,"基础设施"&amp;$B50,竣!$F$26:$F$130)</f>
        <v>0</v>
      </c>
      <c r="R50" s="376">
        <f>SUMIF('续 '!$BI$8:$BI$198,"基础设施"&amp;$B50,'续 '!$G$8:$G$198)+SUMIF(竣!$BJ$26:$BJ$130,"基础设施"&amp;$B50,竣!$G$26:$G$130)</f>
        <v>0</v>
      </c>
      <c r="S50" s="376">
        <f>SUMIF(开!$BN$8:$BN$213,"基础设施"&amp;$B50,开!$L$8:$L$213)+SUMIF('续 '!$BI$8:$BI$198,"基础设施"&amp;$B50,'续 '!$L$8:$L$198)+SUMIF(竣!$BJ$26:$BJ$130,"基础设施"&amp;$B50,竣!$L$26:$L$130)</f>
        <v>0</v>
      </c>
      <c r="T50" s="403" t="e">
        <f t="shared" si="35"/>
        <v>#DIV/0!</v>
      </c>
      <c r="U50" s="376">
        <f>SUMIF(开!$BN$8:$BN$213,"基础设施"&amp;$B50,开!$P$8:$P$213)+SUMIF('续 '!$BI$8:$BI$198,"基础设施"&amp;$B50,'续 '!$O$8:$O$198)+SUMIF(竣!$BJ$26:$BJ$130,"基础设施"&amp;$B50,竣!$O$26:$O$130)</f>
        <v>0</v>
      </c>
      <c r="V50" s="402" t="e">
        <f t="shared" si="7"/>
        <v>#DIV/0!</v>
      </c>
      <c r="W50" s="376">
        <f>COUNTIF(开!$BN$8:$BN$213,"民生设施"&amp;$B50)+COUNTIF('续 '!$BI$8:$BI$198,"民生设施"&amp;$B50)+COUNTIF(竣!$BJ$26:$BJ$130,"民生设施"&amp;$B50)</f>
        <v>0</v>
      </c>
      <c r="X50" s="376">
        <f>SUMIF(开!$BN$8:$BN$213,"民生设施"&amp;$B50,开!$F$8:$F$213)+SUMIF('续 '!$BI$8:$BI$198,"民生设施"&amp;$B50,'续 '!$F$8:$F$198)+SUMIF(竣!$BJ$26:$BJ$130,"民生设施"&amp;$B50,竣!$F$26:$F$130)</f>
        <v>0</v>
      </c>
      <c r="Y50" s="376">
        <f>SUMIF('续 '!$BI$8:$BI$198,"民生设施"&amp;$B50,'续 '!$G$8:$G$198)+SUMIF(竣!$BJ$26:$BJ$130,"民生设施"&amp;$B50,竣!$G$26:$G$130)</f>
        <v>0</v>
      </c>
      <c r="Z50" s="376">
        <f>SUMIF(开!$BN$8:$BN$213,"民生设施"&amp;$B50,开!$L$8:$L$213)+SUMIF('续 '!$BI$8:$BI$198,"民生设施"&amp;$B50,'续 '!$L$8:$L$198)+SUMIF(竣!$BJ$26:$BJ$130,"民生设施"&amp;$B50,竣!$L$26:$L$130)</f>
        <v>0</v>
      </c>
      <c r="AA50" s="403" t="e">
        <f t="shared" si="32"/>
        <v>#DIV/0!</v>
      </c>
      <c r="AB50" s="376">
        <f>SUMIF(开!$BN$8:$BN$213,"民生设施"&amp;$B50,开!$P$8:$P$213)+SUMIF('续 '!$BI$8:$BI$198,"民生设施"&amp;$B50,'续 '!$O$8:$O$198)+SUMIF(竣!$BJ$26:$BJ$130,"民生设施"&amp;$B50,竣!$O$26:$O$130)</f>
        <v>0</v>
      </c>
      <c r="AC50" s="402" t="e">
        <f t="shared" si="8"/>
        <v>#DIV/0!</v>
      </c>
    </row>
    <row r="51" s="334" customFormat="1" ht="30" customHeight="1" spans="1:29">
      <c r="A51" s="374">
        <v>27</v>
      </c>
      <c r="B51" s="381" t="s">
        <v>464</v>
      </c>
      <c r="C51" s="376">
        <f t="shared" si="25"/>
        <v>4</v>
      </c>
      <c r="D51" s="384">
        <f t="shared" si="26"/>
        <v>39688</v>
      </c>
      <c r="E51" s="384">
        <f t="shared" si="27"/>
        <v>0</v>
      </c>
      <c r="F51" s="384">
        <f t="shared" si="28"/>
        <v>15700</v>
      </c>
      <c r="G51" s="385">
        <f t="shared" si="29"/>
        <v>0</v>
      </c>
      <c r="H51" s="371">
        <f t="shared" si="33"/>
        <v>0</v>
      </c>
      <c r="I51" s="376">
        <f>COUNTIF(开!$BN$8:$BN$213,"产业"&amp;$B51)+COUNTIF('续 '!$BI$8:$BI$198,"产业"&amp;$B51)+COUNTIF(竣!$BJ$26:$BJ$130,"产业"&amp;$B51)</f>
        <v>1</v>
      </c>
      <c r="J51" s="376">
        <f>SUMIF(开!$BN$8:$BN$213,"产业"&amp;$B51,开!$F$8:$F$213)+SUMIF('续 '!$BI$8:$BI$198,"产业"&amp;$B51,'续 '!$F$8:$F$198)+SUMIF(竣!$BJ$26:$BJ$130,"产业"&amp;$B51,竣!$F$26:$F$130)</f>
        <v>12000</v>
      </c>
      <c r="K51" s="376">
        <f>SUMIF('续 '!$BI$8:$BI$198,"产业"&amp;$B51,'续 '!$G$8:$G$198)+SUMIF(竣!$BJ$26:$BJ$130,"产业"&amp;$B51,竣!$G$26:$G$130)</f>
        <v>0</v>
      </c>
      <c r="L51" s="376">
        <f>SUMIF(开!$BN$8:$BN$213,"产业"&amp;$B51,开!$L$8:$L$213)+SUMIF('续 '!$BI$8:$BI$198,"产业"&amp;$B51,'续 '!$L$8:$L$198)+SUMIF(竣!$BJ$26:$BJ$130,"产业"&amp;$B51,竣!$L$26:$L$130)</f>
        <v>12000</v>
      </c>
      <c r="M51" s="403">
        <f t="shared" si="34"/>
        <v>0.764331210191083</v>
      </c>
      <c r="N51" s="376">
        <f>SUMIF(开!$BN$8:$BN$213,"产业"&amp;$B51,开!$P$8:$P$213)+SUMIF('续 '!$BI$8:$BI$198,"产业"&amp;$B51,'续 '!$O$8:$O$198)+SUMIF(竣!$BJ$26:$BJ$130,"产业"&amp;$B51,竣!$O$26:$O$130)</f>
        <v>0</v>
      </c>
      <c r="O51" s="402">
        <f t="shared" si="6"/>
        <v>0</v>
      </c>
      <c r="P51" s="376">
        <f>COUNTIF(开!$BN$8:$BN$213,"基础设施"&amp;$B51)+COUNTIF('续 '!$BI$8:$BI$198,"基础设施"&amp;$B51)+COUNTIF(竣!$BJ$26:$BJ$130,"基础设施"&amp;$B51)</f>
        <v>0</v>
      </c>
      <c r="Q51" s="376">
        <f>SUMIF(开!$BN$8:$BN$213,"基础设施"&amp;$B51,开!$F$8:$F$213)+SUMIF('续 '!$BI$8:$BI$198,"基础设施"&amp;$B51,'续 '!$F$8:$F$198)+SUMIF(竣!$BJ$26:$BJ$130,"基础设施"&amp;$B51,竣!$F$26:$F$130)</f>
        <v>0</v>
      </c>
      <c r="R51" s="376">
        <f>SUMIF('续 '!$BI$8:$BI$198,"基础设施"&amp;$B51,'续 '!$G$8:$G$198)+SUMIF(竣!$BJ$26:$BJ$130,"基础设施"&amp;$B51,竣!$G$26:$G$130)</f>
        <v>0</v>
      </c>
      <c r="S51" s="376">
        <f>SUMIF(开!$BN$8:$BN$213,"基础设施"&amp;$B51,开!$L$8:$L$213)+SUMIF('续 '!$BI$8:$BI$198,"基础设施"&amp;$B51,'续 '!$L$8:$L$198)+SUMIF(竣!$BJ$26:$BJ$130,"基础设施"&amp;$B51,竣!$L$26:$L$130)</f>
        <v>0</v>
      </c>
      <c r="T51" s="403">
        <f t="shared" si="35"/>
        <v>0</v>
      </c>
      <c r="U51" s="376">
        <f>SUMIF(开!$BN$8:$BN$213,"基础设施"&amp;$B51,开!$P$8:$P$213)+SUMIF('续 '!$BI$8:$BI$198,"基础设施"&amp;$B51,'续 '!$O$8:$O$198)+SUMIF(竣!$BJ$26:$BJ$130,"基础设施"&amp;$B51,竣!$O$26:$O$130)</f>
        <v>0</v>
      </c>
      <c r="V51" s="402" t="e">
        <f t="shared" si="7"/>
        <v>#DIV/0!</v>
      </c>
      <c r="W51" s="376">
        <f>COUNTIF(开!$BN$8:$BN$213,"民生设施"&amp;$B51)+COUNTIF('续 '!$BI$8:$BI$198,"民生设施"&amp;$B51)+COUNTIF(竣!$BJ$26:$BJ$130,"民生设施"&amp;$B51)</f>
        <v>3</v>
      </c>
      <c r="X51" s="376">
        <f>SUMIF(开!$BN$8:$BN$213,"民生设施"&amp;$B51,开!$F$8:$F$213)+SUMIF('续 '!$BI$8:$BI$198,"民生设施"&amp;$B51,'续 '!$F$8:$F$198)+SUMIF(竣!$BJ$26:$BJ$130,"民生设施"&amp;$B51,竣!$F$26:$F$130)</f>
        <v>27688</v>
      </c>
      <c r="Y51" s="376">
        <f>SUMIF('续 '!$BI$8:$BI$198,"民生设施"&amp;$B51,'续 '!$G$8:$G$198)+SUMIF(竣!$BJ$26:$BJ$130,"民生设施"&amp;$B51,竣!$G$26:$G$130)</f>
        <v>0</v>
      </c>
      <c r="Z51" s="376">
        <f>SUMIF(开!$BN$8:$BN$213,"民生设施"&amp;$B51,开!$L$8:$L$213)+SUMIF('续 '!$BI$8:$BI$198,"民生设施"&amp;$B51,'续 '!$L$8:$L$198)+SUMIF(竣!$BJ$26:$BJ$130,"民生设施"&amp;$B51,竣!$L$26:$L$130)</f>
        <v>3700</v>
      </c>
      <c r="AA51" s="403">
        <f t="shared" si="32"/>
        <v>0.235668789808917</v>
      </c>
      <c r="AB51" s="376">
        <f>SUMIF(开!$BN$8:$BN$213,"民生设施"&amp;$B51,开!$P$8:$P$213)+SUMIF('续 '!$BI$8:$BI$198,"民生设施"&amp;$B51,'续 '!$O$8:$O$198)+SUMIF(竣!$BJ$26:$BJ$130,"民生设施"&amp;$B51,竣!$O$26:$O$130)</f>
        <v>0</v>
      </c>
      <c r="AC51" s="402">
        <f t="shared" si="8"/>
        <v>0</v>
      </c>
    </row>
    <row r="52" s="334" customFormat="1" ht="30" customHeight="1" spans="1:29">
      <c r="A52" s="374"/>
      <c r="B52" s="381" t="s">
        <v>2785</v>
      </c>
      <c r="C52" s="376">
        <f t="shared" si="25"/>
        <v>0</v>
      </c>
      <c r="D52" s="384">
        <f t="shared" si="26"/>
        <v>0</v>
      </c>
      <c r="E52" s="384">
        <f t="shared" si="27"/>
        <v>0</v>
      </c>
      <c r="F52" s="384">
        <f t="shared" si="28"/>
        <v>0</v>
      </c>
      <c r="G52" s="385">
        <f t="shared" si="29"/>
        <v>0</v>
      </c>
      <c r="H52" s="371" t="e">
        <f t="shared" si="33"/>
        <v>#DIV/0!</v>
      </c>
      <c r="I52" s="376">
        <f>COUNTIF(开!$BN$8:$BN$213,"产业"&amp;$B52)+COUNTIF('续 '!$BI$8:$BI$198,"产业"&amp;$B52)+COUNTIF(竣!$BJ$26:$BJ$130,"产业"&amp;$B52)</f>
        <v>0</v>
      </c>
      <c r="J52" s="376">
        <f>SUMIF(开!$BN$8:$BN$213,"产业"&amp;$B52,开!$F$8:$F$213)+SUMIF('续 '!$BI$8:$BI$198,"产业"&amp;$B52,'续 '!$F$8:$F$198)+SUMIF(竣!$BJ$26:$BJ$130,"产业"&amp;$B52,竣!$F$26:$F$130)</f>
        <v>0</v>
      </c>
      <c r="K52" s="376">
        <f>SUMIF('续 '!$BI$8:$BI$198,"产业"&amp;$B52,'续 '!$G$8:$G$198)+SUMIF(竣!$BJ$26:$BJ$130,"产业"&amp;$B52,竣!$G$26:$G$130)</f>
        <v>0</v>
      </c>
      <c r="L52" s="376">
        <f>SUMIF(开!$BN$8:$BN$213,"产业"&amp;$B52,开!$L$8:$L$213)+SUMIF('续 '!$BI$8:$BI$198,"产业"&amp;$B52,'续 '!$L$8:$L$198)+SUMIF(竣!$BJ$26:$BJ$130,"产业"&amp;$B52,竣!$L$26:$L$130)</f>
        <v>0</v>
      </c>
      <c r="M52" s="403" t="e">
        <f t="shared" si="34"/>
        <v>#DIV/0!</v>
      </c>
      <c r="N52" s="376">
        <f>SUMIF(开!$BN$8:$BN$213,"产业"&amp;$B52,开!$P$8:$P$213)+SUMIF('续 '!$BI$8:$BI$198,"产业"&amp;$B52,'续 '!$O$8:$O$198)+SUMIF(竣!$BJ$26:$BJ$130,"产业"&amp;$B52,竣!$O$26:$O$130)</f>
        <v>0</v>
      </c>
      <c r="O52" s="402" t="e">
        <f t="shared" si="6"/>
        <v>#DIV/0!</v>
      </c>
      <c r="P52" s="376">
        <f>COUNTIF(开!$BN$8:$BN$213,"基础设施"&amp;$B52)+COUNTIF('续 '!$BI$8:$BI$198,"基础设施"&amp;$B52)+COUNTIF(竣!$BJ$26:$BJ$130,"基础设施"&amp;$B52)</f>
        <v>0</v>
      </c>
      <c r="Q52" s="376">
        <f>SUMIF(开!$BN$8:$BN$213,"基础设施"&amp;$B52,开!$F$8:$F$213)+SUMIF('续 '!$BI$8:$BI$198,"基础设施"&amp;$B52,'续 '!$F$8:$F$198)+SUMIF(竣!$BJ$26:$BJ$130,"基础设施"&amp;$B52,竣!$F$26:$F$130)</f>
        <v>0</v>
      </c>
      <c r="R52" s="376">
        <f>SUMIF('续 '!$BI$8:$BI$198,"基础设施"&amp;$B52,'续 '!$G$8:$G$198)+SUMIF(竣!$BJ$26:$BJ$130,"基础设施"&amp;$B52,竣!$G$26:$G$130)</f>
        <v>0</v>
      </c>
      <c r="S52" s="376">
        <f>SUMIF(开!$BN$8:$BN$213,"基础设施"&amp;$B52,开!$L$8:$L$213)+SUMIF('续 '!$BI$8:$BI$198,"基础设施"&amp;$B52,'续 '!$L$8:$L$198)+SUMIF(竣!$BJ$26:$BJ$130,"基础设施"&amp;$B52,竣!$L$26:$L$130)</f>
        <v>0</v>
      </c>
      <c r="T52" s="403" t="e">
        <f t="shared" si="35"/>
        <v>#DIV/0!</v>
      </c>
      <c r="U52" s="376">
        <f>SUMIF(开!$BN$8:$BN$213,"基础设施"&amp;$B52,开!$P$8:$P$213)+SUMIF('续 '!$BI$8:$BI$198,"基础设施"&amp;$B52,'续 '!$O$8:$O$198)+SUMIF(竣!$BJ$26:$BJ$130,"基础设施"&amp;$B52,竣!$O$26:$O$130)</f>
        <v>0</v>
      </c>
      <c r="V52" s="402" t="e">
        <f t="shared" si="7"/>
        <v>#DIV/0!</v>
      </c>
      <c r="W52" s="376">
        <f>COUNTIF(开!$BN$8:$BN$213,"民生设施"&amp;$B52)+COUNTIF('续 '!$BI$8:$BI$198,"民生设施"&amp;$B52)+COUNTIF(竣!$BJ$26:$BJ$130,"民生设施"&amp;$B52)</f>
        <v>0</v>
      </c>
      <c r="X52" s="376">
        <f>SUMIF(开!$BN$8:$BN$213,"民生设施"&amp;$B52,开!$F$8:$F$213)+SUMIF('续 '!$BI$8:$BI$198,"民生设施"&amp;$B52,'续 '!$F$8:$F$198)+SUMIF(竣!$BJ$26:$BJ$130,"民生设施"&amp;$B52,竣!$F$26:$F$130)</f>
        <v>0</v>
      </c>
      <c r="Y52" s="376">
        <f>SUMIF('续 '!$BI$8:$BI$198,"民生设施"&amp;$B52,'续 '!$G$8:$G$198)+SUMIF(竣!$BJ$26:$BJ$130,"民生设施"&amp;$B52,竣!$G$26:$G$130)</f>
        <v>0</v>
      </c>
      <c r="Z52" s="376">
        <f>SUMIF(开!$BN$8:$BN$213,"民生设施"&amp;$B52,开!$L$8:$L$213)+SUMIF('续 '!$BI$8:$BI$198,"民生设施"&amp;$B52,'续 '!$L$8:$L$198)+SUMIF(竣!$BJ$26:$BJ$130,"民生设施"&amp;$B52,竣!$L$26:$L$130)</f>
        <v>0</v>
      </c>
      <c r="AA52" s="403" t="e">
        <f t="shared" si="32"/>
        <v>#DIV/0!</v>
      </c>
      <c r="AB52" s="376">
        <f>SUMIF(开!$BN$8:$BN$213,"民生设施"&amp;$B52,开!$P$8:$P$213)+SUMIF('续 '!$BI$8:$BI$198,"民生设施"&amp;$B52,'续 '!$O$8:$O$198)+SUMIF(竣!$BJ$26:$BJ$130,"民生设施"&amp;$B52,竣!$O$26:$O$130)</f>
        <v>0</v>
      </c>
      <c r="AC52" s="402" t="e">
        <f t="shared" si="8"/>
        <v>#DIV/0!</v>
      </c>
    </row>
    <row r="53" s="334" customFormat="1" ht="25.15" customHeight="1" spans="1:29">
      <c r="A53" s="374"/>
      <c r="B53" s="381" t="s">
        <v>2786</v>
      </c>
      <c r="C53" s="376">
        <f t="shared" si="25"/>
        <v>0</v>
      </c>
      <c r="D53" s="384">
        <f t="shared" si="26"/>
        <v>0</v>
      </c>
      <c r="E53" s="384">
        <f t="shared" si="27"/>
        <v>0</v>
      </c>
      <c r="F53" s="384">
        <f t="shared" si="28"/>
        <v>0</v>
      </c>
      <c r="G53" s="385">
        <f t="shared" si="29"/>
        <v>0</v>
      </c>
      <c r="H53" s="371" t="e">
        <f t="shared" si="33"/>
        <v>#DIV/0!</v>
      </c>
      <c r="I53" s="376">
        <f>COUNTIF(开!$BN$8:$BN$213,"产业"&amp;$B53)+COUNTIF('续 '!$BI$8:$BI$198,"产业"&amp;$B53)+COUNTIF(竣!$BJ$26:$BJ$130,"产业"&amp;$B53)</f>
        <v>0</v>
      </c>
      <c r="J53" s="376">
        <f>SUMIF(开!$BN$8:$BN$213,"产业"&amp;$B53,开!$F$8:$F$213)+SUMIF('续 '!$BI$8:$BI$198,"产业"&amp;$B53,'续 '!$F$8:$F$198)+SUMIF(竣!$BJ$26:$BJ$130,"产业"&amp;$B53,竣!$F$26:$F$130)</f>
        <v>0</v>
      </c>
      <c r="K53" s="376">
        <f>SUMIF('续 '!$BI$8:$BI$198,"产业"&amp;$B53,'续 '!$G$8:$G$198)+SUMIF(竣!$BJ$26:$BJ$130,"产业"&amp;$B53,竣!$G$26:$G$130)</f>
        <v>0</v>
      </c>
      <c r="L53" s="376">
        <f>SUMIF(开!$BN$8:$BN$213,"产业"&amp;$B53,开!$L$8:$L$213)+SUMIF('续 '!$BI$8:$BI$198,"产业"&amp;$B53,'续 '!$L$8:$L$198)+SUMIF(竣!$BJ$26:$BJ$130,"产业"&amp;$B53,竣!$L$26:$L$130)</f>
        <v>0</v>
      </c>
      <c r="M53" s="403" t="e">
        <f t="shared" si="34"/>
        <v>#DIV/0!</v>
      </c>
      <c r="N53" s="376">
        <f>SUMIF(开!$BN$8:$BN$213,"产业"&amp;$B53,开!$P$8:$P$213)+SUMIF('续 '!$BI$8:$BI$198,"产业"&amp;$B53,'续 '!$O$8:$O$198)+SUMIF(竣!$BJ$26:$BJ$130,"产业"&amp;$B53,竣!$O$26:$O$130)</f>
        <v>0</v>
      </c>
      <c r="O53" s="402" t="e">
        <f t="shared" si="6"/>
        <v>#DIV/0!</v>
      </c>
      <c r="P53" s="376">
        <f>COUNTIF(开!$BN$8:$BN$213,"基础设施"&amp;$B53)+COUNTIF('续 '!$BI$8:$BI$198,"基础设施"&amp;$B53)+COUNTIF(竣!$BJ$26:$BJ$130,"基础设施"&amp;$B53)</f>
        <v>0</v>
      </c>
      <c r="Q53" s="376">
        <f>SUMIF(开!$BN$8:$BN$213,"基础设施"&amp;$B53,开!$F$8:$F$213)+SUMIF('续 '!$BI$8:$BI$198,"基础设施"&amp;$B53,'续 '!$F$8:$F$198)+SUMIF(竣!$BJ$26:$BJ$130,"基础设施"&amp;$B53,竣!$F$26:$F$130)</f>
        <v>0</v>
      </c>
      <c r="R53" s="376">
        <f>SUMIF('续 '!$BI$8:$BI$198,"基础设施"&amp;$B53,'续 '!$G$8:$G$198)+SUMIF(竣!$BJ$26:$BJ$130,"基础设施"&amp;$B53,竣!$G$26:$G$130)</f>
        <v>0</v>
      </c>
      <c r="S53" s="376">
        <f>SUMIF(开!$BN$8:$BN$213,"基础设施"&amp;$B53,开!$L$8:$L$213)+SUMIF('续 '!$BI$8:$BI$198,"基础设施"&amp;$B53,'续 '!$L$8:$L$198)+SUMIF(竣!$BJ$26:$BJ$130,"基础设施"&amp;$B53,竣!$L$26:$L$130)</f>
        <v>0</v>
      </c>
      <c r="T53" s="403" t="e">
        <f t="shared" si="35"/>
        <v>#DIV/0!</v>
      </c>
      <c r="U53" s="376">
        <f>SUMIF(开!$BN$8:$BN$213,"基础设施"&amp;$B53,开!$P$8:$P$213)+SUMIF('续 '!$BI$8:$BI$198,"基础设施"&amp;$B53,'续 '!$O$8:$O$198)+SUMIF(竣!$BJ$26:$BJ$130,"基础设施"&amp;$B53,竣!$O$26:$O$130)</f>
        <v>0</v>
      </c>
      <c r="V53" s="402" t="e">
        <f t="shared" si="7"/>
        <v>#DIV/0!</v>
      </c>
      <c r="W53" s="376">
        <f>COUNTIF(开!$BN$8:$BN$213,"民生设施"&amp;$B53)+COUNTIF('续 '!$BI$8:$BI$198,"民生设施"&amp;$B53)+COUNTIF(竣!$BJ$26:$BJ$130,"民生设施"&amp;$B53)</f>
        <v>0</v>
      </c>
      <c r="X53" s="376">
        <f>SUMIF(开!$BN$8:$BN$213,"民生设施"&amp;$B53,开!$F$8:$F$213)+SUMIF('续 '!$BI$8:$BI$198,"民生设施"&amp;$B53,'续 '!$F$8:$F$198)+SUMIF(竣!$BJ$26:$BJ$130,"民生设施"&amp;$B53,竣!$F$26:$F$130)</f>
        <v>0</v>
      </c>
      <c r="Y53" s="376">
        <f>SUMIF('续 '!$BI$8:$BI$198,"民生设施"&amp;$B53,'续 '!$G$8:$G$198)+SUMIF(竣!$BJ$26:$BJ$130,"民生设施"&amp;$B53,竣!$G$26:$G$130)</f>
        <v>0</v>
      </c>
      <c r="Z53" s="376">
        <f>SUMIF(开!$BN$8:$BN$213,"民生设施"&amp;$B53,开!$L$8:$L$213)+SUMIF('续 '!$BI$8:$BI$198,"民生设施"&amp;$B53,'续 '!$L$8:$L$198)+SUMIF(竣!$BJ$26:$BJ$130,"民生设施"&amp;$B53,竣!$L$26:$L$130)</f>
        <v>0</v>
      </c>
      <c r="AA53" s="403" t="e">
        <f t="shared" si="32"/>
        <v>#DIV/0!</v>
      </c>
      <c r="AB53" s="376">
        <f>SUMIF(开!$BN$8:$BN$213,"民生设施"&amp;$B53,开!$P$8:$P$213)+SUMIF('续 '!$BI$8:$BI$198,"民生设施"&amp;$B53,'续 '!$O$8:$O$198)+SUMIF(竣!$BJ$26:$BJ$130,"民生设施"&amp;$B53,竣!$O$26:$O$130)</f>
        <v>0</v>
      </c>
      <c r="AC53" s="402" t="e">
        <f t="shared" si="8"/>
        <v>#DIV/0!</v>
      </c>
    </row>
    <row r="54" s="334" customFormat="1" ht="30" customHeight="1" spans="1:29">
      <c r="A54" s="374"/>
      <c r="B54" s="381" t="s">
        <v>2787</v>
      </c>
      <c r="C54" s="376">
        <f t="shared" si="25"/>
        <v>0</v>
      </c>
      <c r="D54" s="384">
        <f t="shared" si="26"/>
        <v>0</v>
      </c>
      <c r="E54" s="384">
        <f t="shared" si="27"/>
        <v>0</v>
      </c>
      <c r="F54" s="384">
        <f t="shared" si="28"/>
        <v>0</v>
      </c>
      <c r="G54" s="385">
        <f t="shared" si="29"/>
        <v>0</v>
      </c>
      <c r="H54" s="371" t="e">
        <f t="shared" si="33"/>
        <v>#DIV/0!</v>
      </c>
      <c r="I54" s="376">
        <f>COUNTIF(开!$BN$8:$BN$213,"产业"&amp;$B54)+COUNTIF('续 '!$BI$8:$BI$198,"产业"&amp;$B54)+COUNTIF(竣!$BJ$26:$BJ$130,"产业"&amp;$B54)</f>
        <v>0</v>
      </c>
      <c r="J54" s="376">
        <f>SUMIF(开!$BN$8:$BN$213,"产业"&amp;$B54,开!$F$8:$F$213)+SUMIF('续 '!$BI$8:$BI$198,"产业"&amp;$B54,'续 '!$F$8:$F$198)+SUMIF(竣!$BJ$26:$BJ$130,"产业"&amp;$B54,竣!$F$26:$F$130)</f>
        <v>0</v>
      </c>
      <c r="K54" s="376">
        <f>SUMIF('续 '!$BI$8:$BI$198,"产业"&amp;$B54,'续 '!$G$8:$G$198)+SUMIF(竣!$BJ$26:$BJ$130,"产业"&amp;$B54,竣!$G$26:$G$130)</f>
        <v>0</v>
      </c>
      <c r="L54" s="376">
        <f>SUMIF(开!$BN$8:$BN$213,"产业"&amp;$B54,开!$L$8:$L$213)+SUMIF('续 '!$BI$8:$BI$198,"产业"&amp;$B54,'续 '!$L$8:$L$198)+SUMIF(竣!$BJ$26:$BJ$130,"产业"&amp;$B54,竣!$L$26:$L$130)</f>
        <v>0</v>
      </c>
      <c r="M54" s="403" t="e">
        <f t="shared" si="34"/>
        <v>#DIV/0!</v>
      </c>
      <c r="N54" s="376">
        <f>SUMIF(开!$BN$8:$BN$213,"产业"&amp;$B54,开!$P$8:$P$213)+SUMIF('续 '!$BI$8:$BI$198,"产业"&amp;$B54,'续 '!$O$8:$O$198)+SUMIF(竣!$BJ$26:$BJ$130,"产业"&amp;$B54,竣!$O$26:$O$130)</f>
        <v>0</v>
      </c>
      <c r="O54" s="402" t="e">
        <f t="shared" si="6"/>
        <v>#DIV/0!</v>
      </c>
      <c r="P54" s="376">
        <f>COUNTIF(开!$BN$8:$BN$213,"基础设施"&amp;$B54)+COUNTIF('续 '!$BI$8:$BI$198,"基础设施"&amp;$B54)+COUNTIF(竣!$BJ$26:$BJ$130,"基础设施"&amp;$B54)</f>
        <v>0</v>
      </c>
      <c r="Q54" s="376">
        <f>SUMIF(开!$BN$8:$BN$213,"基础设施"&amp;$B54,开!$F$8:$F$213)+SUMIF('续 '!$BI$8:$BI$198,"基础设施"&amp;$B54,'续 '!$F$8:$F$198)+SUMIF(竣!$BJ$26:$BJ$130,"基础设施"&amp;$B54,竣!$F$26:$F$130)</f>
        <v>0</v>
      </c>
      <c r="R54" s="376">
        <f>SUMIF('续 '!$BI$8:$BI$198,"基础设施"&amp;$B54,'续 '!$G$8:$G$198)+SUMIF(竣!$BJ$26:$BJ$130,"基础设施"&amp;$B54,竣!$G$26:$G$130)</f>
        <v>0</v>
      </c>
      <c r="S54" s="376">
        <f>SUMIF(开!$BN$8:$BN$213,"基础设施"&amp;$B54,开!$L$8:$L$213)+SUMIF('续 '!$BI$8:$BI$198,"基础设施"&amp;$B54,'续 '!$L$8:$L$198)+SUMIF(竣!$BJ$26:$BJ$130,"基础设施"&amp;$B54,竣!$L$26:$L$130)</f>
        <v>0</v>
      </c>
      <c r="T54" s="403" t="e">
        <f t="shared" si="35"/>
        <v>#DIV/0!</v>
      </c>
      <c r="U54" s="376">
        <f>SUMIF(开!$BN$8:$BN$213,"基础设施"&amp;$B54,开!$P$8:$P$213)+SUMIF('续 '!$BI$8:$BI$198,"基础设施"&amp;$B54,'续 '!$O$8:$O$198)+SUMIF(竣!$BJ$26:$BJ$130,"基础设施"&amp;$B54,竣!$O$26:$O$130)</f>
        <v>0</v>
      </c>
      <c r="V54" s="402" t="e">
        <f t="shared" si="7"/>
        <v>#DIV/0!</v>
      </c>
      <c r="W54" s="376">
        <f>COUNTIF(开!$BN$8:$BN$213,"民生设施"&amp;$B54)+COUNTIF('续 '!$BI$8:$BI$198,"民生设施"&amp;$B54)+COUNTIF(竣!$BJ$26:$BJ$130,"民生设施"&amp;$B54)</f>
        <v>0</v>
      </c>
      <c r="X54" s="376">
        <f>SUMIF(开!$BN$8:$BN$213,"民生设施"&amp;$B54,开!$F$8:$F$213)+SUMIF('续 '!$BI$8:$BI$198,"民生设施"&amp;$B54,'续 '!$F$8:$F$198)+SUMIF(竣!$BJ$26:$BJ$130,"民生设施"&amp;$B54,竣!$F$26:$F$130)</f>
        <v>0</v>
      </c>
      <c r="Y54" s="376">
        <f>SUMIF('续 '!$BI$8:$BI$198,"民生设施"&amp;$B54,'续 '!$G$8:$G$198)+SUMIF(竣!$BJ$26:$BJ$130,"民生设施"&amp;$B54,竣!$G$26:$G$130)</f>
        <v>0</v>
      </c>
      <c r="Z54" s="376">
        <f>SUMIF(开!$BN$8:$BN$213,"民生设施"&amp;$B54,开!$L$8:$L$213)+SUMIF('续 '!$BI$8:$BI$198,"民生设施"&amp;$B54,'续 '!$L$8:$L$198)+SUMIF(竣!$BJ$26:$BJ$130,"民生设施"&amp;$B54,竣!$L$26:$L$130)</f>
        <v>0</v>
      </c>
      <c r="AA54" s="403" t="e">
        <f t="shared" si="32"/>
        <v>#DIV/0!</v>
      </c>
      <c r="AB54" s="376">
        <f>SUMIF(开!$BN$8:$BN$213,"民生设施"&amp;$B54,开!$P$8:$P$213)+SUMIF('续 '!$BI$8:$BI$198,"民生设施"&amp;$B54,'续 '!$O$8:$O$198)+SUMIF(竣!$BJ$26:$BJ$130,"民生设施"&amp;$B54,竣!$O$26:$O$130)</f>
        <v>0</v>
      </c>
      <c r="AC54" s="402" t="e">
        <f t="shared" si="8"/>
        <v>#DIV/0!</v>
      </c>
    </row>
    <row r="55" s="334" customFormat="1" ht="30" customHeight="1" spans="1:29">
      <c r="A55" s="374"/>
      <c r="B55" s="381" t="s">
        <v>2788</v>
      </c>
      <c r="C55" s="376">
        <f t="shared" si="25"/>
        <v>0</v>
      </c>
      <c r="D55" s="384">
        <f t="shared" si="26"/>
        <v>0</v>
      </c>
      <c r="E55" s="384">
        <f t="shared" si="27"/>
        <v>0</v>
      </c>
      <c r="F55" s="384">
        <f t="shared" si="28"/>
        <v>0</v>
      </c>
      <c r="G55" s="385">
        <f t="shared" si="29"/>
        <v>0</v>
      </c>
      <c r="H55" s="371" t="e">
        <f t="shared" si="33"/>
        <v>#DIV/0!</v>
      </c>
      <c r="I55" s="376">
        <f>COUNTIF(开!$BN$8:$BN$213,"产业"&amp;$B55)+COUNTIF('续 '!$BI$8:$BI$198,"产业"&amp;$B55)+COUNTIF(竣!$BJ$26:$BJ$130,"产业"&amp;$B55)</f>
        <v>0</v>
      </c>
      <c r="J55" s="376">
        <f>SUMIF(开!$BN$8:$BN$213,"产业"&amp;$B55,开!$F$8:$F$213)+SUMIF('续 '!$BI$8:$BI$198,"产业"&amp;$B55,'续 '!$F$8:$F$198)+SUMIF(竣!$BJ$26:$BJ$130,"产业"&amp;$B55,竣!$F$26:$F$130)</f>
        <v>0</v>
      </c>
      <c r="K55" s="376">
        <f>SUMIF('续 '!$BI$8:$BI$198,"产业"&amp;$B55,'续 '!$G$8:$G$198)+SUMIF(竣!$BJ$26:$BJ$130,"产业"&amp;$B55,竣!$G$26:$G$130)</f>
        <v>0</v>
      </c>
      <c r="L55" s="376">
        <f>SUMIF(开!$BN$8:$BN$213,"产业"&amp;$B55,开!$L$8:$L$213)+SUMIF('续 '!$BI$8:$BI$198,"产业"&amp;$B55,'续 '!$L$8:$L$198)+SUMIF(竣!$BJ$26:$BJ$130,"产业"&amp;$B55,竣!$L$26:$L$130)</f>
        <v>0</v>
      </c>
      <c r="M55" s="403" t="e">
        <f t="shared" si="34"/>
        <v>#DIV/0!</v>
      </c>
      <c r="N55" s="376">
        <f>SUMIF(开!$BN$8:$BN$213,"产业"&amp;$B55,开!$P$8:$P$213)+SUMIF('续 '!$BI$8:$BI$198,"产业"&amp;$B55,'续 '!$O$8:$O$198)+SUMIF(竣!$BJ$26:$BJ$130,"产业"&amp;$B55,竣!$O$26:$O$130)</f>
        <v>0</v>
      </c>
      <c r="O55" s="402" t="e">
        <f t="shared" si="6"/>
        <v>#DIV/0!</v>
      </c>
      <c r="P55" s="376">
        <f>COUNTIF(开!$BN$8:$BN$213,"基础设施"&amp;$B55)+COUNTIF('续 '!$BI$8:$BI$198,"基础设施"&amp;$B55)+COUNTIF(竣!$BJ$26:$BJ$130,"基础设施"&amp;$B55)</f>
        <v>0</v>
      </c>
      <c r="Q55" s="376">
        <f>SUMIF(开!$BN$8:$BN$213,"基础设施"&amp;$B55,开!$F$8:$F$213)+SUMIF('续 '!$BI$8:$BI$198,"基础设施"&amp;$B55,'续 '!$F$8:$F$198)+SUMIF(竣!$BJ$26:$BJ$130,"基础设施"&amp;$B55,竣!$F$26:$F$130)</f>
        <v>0</v>
      </c>
      <c r="R55" s="376">
        <f>SUMIF('续 '!$BI$8:$BI$198,"基础设施"&amp;$B55,'续 '!$G$8:$G$198)+SUMIF(竣!$BJ$26:$BJ$130,"基础设施"&amp;$B55,竣!$G$26:$G$130)</f>
        <v>0</v>
      </c>
      <c r="S55" s="376">
        <f>SUMIF(开!$BN$8:$BN$213,"基础设施"&amp;$B55,开!$L$8:$L$213)+SUMIF('续 '!$BI$8:$BI$198,"基础设施"&amp;$B55,'续 '!$L$8:$L$198)+SUMIF(竣!$BJ$26:$BJ$130,"基础设施"&amp;$B55,竣!$L$26:$L$130)</f>
        <v>0</v>
      </c>
      <c r="T55" s="403" t="e">
        <f t="shared" si="35"/>
        <v>#DIV/0!</v>
      </c>
      <c r="U55" s="376">
        <f>SUMIF(开!$BN$8:$BN$213,"基础设施"&amp;$B55,开!$P$8:$P$213)+SUMIF('续 '!$BI$8:$BI$198,"基础设施"&amp;$B55,'续 '!$O$8:$O$198)+SUMIF(竣!$BJ$26:$BJ$130,"基础设施"&amp;$B55,竣!$O$26:$O$130)</f>
        <v>0</v>
      </c>
      <c r="V55" s="402" t="e">
        <f t="shared" si="7"/>
        <v>#DIV/0!</v>
      </c>
      <c r="W55" s="376">
        <f>COUNTIF(开!$BN$8:$BN$213,"民生设施"&amp;$B55)+COUNTIF('续 '!$BI$8:$BI$198,"民生设施"&amp;$B55)+COUNTIF(竣!$BJ$26:$BJ$130,"民生设施"&amp;$B55)</f>
        <v>0</v>
      </c>
      <c r="X55" s="376">
        <f>SUMIF(开!$BN$8:$BN$213,"民生设施"&amp;$B55,开!$F$8:$F$213)+SUMIF('续 '!$BI$8:$BI$198,"民生设施"&amp;$B55,'续 '!$F$8:$F$198)+SUMIF(竣!$BJ$26:$BJ$130,"民生设施"&amp;$B55,竣!$F$26:$F$130)</f>
        <v>0</v>
      </c>
      <c r="Y55" s="376">
        <f>SUMIF('续 '!$BI$8:$BI$198,"民生设施"&amp;$B55,'续 '!$G$8:$G$198)+SUMIF(竣!$BJ$26:$BJ$130,"民生设施"&amp;$B55,竣!$G$26:$G$130)</f>
        <v>0</v>
      </c>
      <c r="Z55" s="376">
        <f>SUMIF(开!$BN$8:$BN$213,"民生设施"&amp;$B55,开!$L$8:$L$213)+SUMIF('续 '!$BI$8:$BI$198,"民生设施"&amp;$B55,'续 '!$L$8:$L$198)+SUMIF(竣!$BJ$26:$BJ$130,"民生设施"&amp;$B55,竣!$L$26:$L$130)</f>
        <v>0</v>
      </c>
      <c r="AA55" s="403" t="e">
        <f t="shared" si="32"/>
        <v>#DIV/0!</v>
      </c>
      <c r="AB55" s="376">
        <f>SUMIF(开!$BN$8:$BN$213,"民生设施"&amp;$B55,开!$P$8:$P$213)+SUMIF('续 '!$BI$8:$BI$198,"民生设施"&amp;$B55,'续 '!$O$8:$O$198)+SUMIF(竣!$BJ$26:$BJ$130,"民生设施"&amp;$B55,竣!$O$26:$O$130)</f>
        <v>0</v>
      </c>
      <c r="AC55" s="402" t="e">
        <f t="shared" si="8"/>
        <v>#DIV/0!</v>
      </c>
    </row>
    <row r="56" s="334" customFormat="1" ht="30" customHeight="1" spans="1:29">
      <c r="A56" s="374"/>
      <c r="B56" s="381" t="s">
        <v>2789</v>
      </c>
      <c r="C56" s="376">
        <f t="shared" si="25"/>
        <v>0</v>
      </c>
      <c r="D56" s="384">
        <f t="shared" si="26"/>
        <v>0</v>
      </c>
      <c r="E56" s="384">
        <f t="shared" si="27"/>
        <v>0</v>
      </c>
      <c r="F56" s="384">
        <f t="shared" si="28"/>
        <v>0</v>
      </c>
      <c r="G56" s="385">
        <f t="shared" si="29"/>
        <v>0</v>
      </c>
      <c r="H56" s="371" t="e">
        <f t="shared" si="33"/>
        <v>#DIV/0!</v>
      </c>
      <c r="I56" s="376">
        <f>COUNTIF(开!$BN$8:$BN$213,"产业"&amp;$B56)+COUNTIF('续 '!$BI$8:$BI$198,"产业"&amp;$B56)+COUNTIF(竣!$BJ$26:$BJ$130,"产业"&amp;$B56)</f>
        <v>0</v>
      </c>
      <c r="J56" s="376">
        <f>SUMIF(开!$BN$8:$BN$213,"产业"&amp;$B56,开!$F$8:$F$213)+SUMIF('续 '!$BI$8:$BI$198,"产业"&amp;$B56,'续 '!$F$8:$F$198)+SUMIF(竣!$BJ$26:$BJ$130,"产业"&amp;$B56,竣!$F$26:$F$130)</f>
        <v>0</v>
      </c>
      <c r="K56" s="376">
        <f>SUMIF('续 '!$BI$8:$BI$198,"产业"&amp;$B56,'续 '!$G$8:$G$198)+SUMIF(竣!$BJ$26:$BJ$130,"产业"&amp;$B56,竣!$G$26:$G$130)</f>
        <v>0</v>
      </c>
      <c r="L56" s="376">
        <f>SUMIF(开!$BN$8:$BN$213,"产业"&amp;$B56,开!$L$8:$L$213)+SUMIF('续 '!$BI$8:$BI$198,"产业"&amp;$B56,'续 '!$L$8:$L$198)+SUMIF(竣!$BJ$26:$BJ$130,"产业"&amp;$B56,竣!$L$26:$L$130)</f>
        <v>0</v>
      </c>
      <c r="M56" s="403" t="e">
        <f t="shared" si="34"/>
        <v>#DIV/0!</v>
      </c>
      <c r="N56" s="376">
        <f>SUMIF(开!$BN$8:$BN$213,"产业"&amp;$B56,开!$P$8:$P$213)+SUMIF('续 '!$BI$8:$BI$198,"产业"&amp;$B56,'续 '!$O$8:$O$198)+SUMIF(竣!$BJ$26:$BJ$130,"产业"&amp;$B56,竣!$O$26:$O$130)</f>
        <v>0</v>
      </c>
      <c r="O56" s="402" t="e">
        <f t="shared" si="6"/>
        <v>#DIV/0!</v>
      </c>
      <c r="P56" s="376">
        <f>COUNTIF(开!$BN$8:$BN$213,"基础设施"&amp;$B56)+COUNTIF('续 '!$BI$8:$BI$198,"基础设施"&amp;$B56)+COUNTIF(竣!$BJ$26:$BJ$130,"基础设施"&amp;$B56)</f>
        <v>0</v>
      </c>
      <c r="Q56" s="376">
        <f>SUMIF(开!$BN$8:$BN$213,"基础设施"&amp;$B56,开!$F$8:$F$213)+SUMIF('续 '!$BI$8:$BI$198,"基础设施"&amp;$B56,'续 '!$F$8:$F$198)+SUMIF(竣!$BJ$26:$BJ$130,"基础设施"&amp;$B56,竣!$F$26:$F$130)</f>
        <v>0</v>
      </c>
      <c r="R56" s="376">
        <f>SUMIF('续 '!$BI$8:$BI$198,"基础设施"&amp;$B56,'续 '!$G$8:$G$198)+SUMIF(竣!$BJ$26:$BJ$130,"基础设施"&amp;$B56,竣!$G$26:$G$130)</f>
        <v>0</v>
      </c>
      <c r="S56" s="376">
        <f>SUMIF(开!$BN$8:$BN$213,"基础设施"&amp;$B56,开!$L$8:$L$213)+SUMIF('续 '!$BI$8:$BI$198,"基础设施"&amp;$B56,'续 '!$L$8:$L$198)+SUMIF(竣!$BJ$26:$BJ$130,"基础设施"&amp;$B56,竣!$L$26:$L$130)</f>
        <v>0</v>
      </c>
      <c r="T56" s="403" t="e">
        <f t="shared" si="35"/>
        <v>#DIV/0!</v>
      </c>
      <c r="U56" s="376">
        <f>SUMIF(开!$BN$8:$BN$213,"基础设施"&amp;$B56,开!$P$8:$P$213)+SUMIF('续 '!$BI$8:$BI$198,"基础设施"&amp;$B56,'续 '!$O$8:$O$198)+SUMIF(竣!$BJ$26:$BJ$130,"基础设施"&amp;$B56,竣!$O$26:$O$130)</f>
        <v>0</v>
      </c>
      <c r="V56" s="402" t="e">
        <f t="shared" si="7"/>
        <v>#DIV/0!</v>
      </c>
      <c r="W56" s="376">
        <f>COUNTIF(开!$BN$8:$BN$213,"民生设施"&amp;$B56)+COUNTIF('续 '!$BI$8:$BI$198,"民生设施"&amp;$B56)+COUNTIF(竣!$BJ$26:$BJ$130,"民生设施"&amp;$B56)</f>
        <v>0</v>
      </c>
      <c r="X56" s="376">
        <f>SUMIF(开!$BN$8:$BN$213,"民生设施"&amp;$B56,开!$F$8:$F$213)+SUMIF('续 '!$BI$8:$BI$198,"民生设施"&amp;$B56,'续 '!$F$8:$F$198)+SUMIF(竣!$BJ$26:$BJ$130,"民生设施"&amp;$B56,竣!$F$26:$F$130)</f>
        <v>0</v>
      </c>
      <c r="Y56" s="376">
        <f>SUMIF('续 '!$BI$8:$BI$198,"民生设施"&amp;$B56,'续 '!$G$8:$G$198)+SUMIF(竣!$BJ$26:$BJ$130,"民生设施"&amp;$B56,竣!$G$26:$G$130)</f>
        <v>0</v>
      </c>
      <c r="Z56" s="376">
        <f>SUMIF(开!$BN$8:$BN$213,"民生设施"&amp;$B56,开!$L$8:$L$213)+SUMIF('续 '!$BI$8:$BI$198,"民生设施"&amp;$B56,'续 '!$L$8:$L$198)+SUMIF(竣!$BJ$26:$BJ$130,"民生设施"&amp;$B56,竣!$L$26:$L$130)</f>
        <v>0</v>
      </c>
      <c r="AA56" s="403" t="e">
        <f t="shared" si="32"/>
        <v>#DIV/0!</v>
      </c>
      <c r="AB56" s="376">
        <f>SUMIF(开!$BN$8:$BN$213,"民生设施"&amp;$B56,开!$P$8:$P$213)+SUMIF('续 '!$BI$8:$BI$198,"民生设施"&amp;$B56,'续 '!$O$8:$O$198)+SUMIF(竣!$BJ$26:$BJ$130,"民生设施"&amp;$B56,竣!$O$26:$O$130)</f>
        <v>0</v>
      </c>
      <c r="AC56" s="402" t="e">
        <f t="shared" si="8"/>
        <v>#DIV/0!</v>
      </c>
    </row>
    <row r="57" s="334" customFormat="1" ht="30" customHeight="1" spans="1:29">
      <c r="A57" s="374">
        <v>28</v>
      </c>
      <c r="B57" s="381" t="s">
        <v>720</v>
      </c>
      <c r="C57" s="376">
        <f t="shared" si="25"/>
        <v>1</v>
      </c>
      <c r="D57" s="384">
        <f t="shared" si="26"/>
        <v>25000</v>
      </c>
      <c r="E57" s="384">
        <f t="shared" si="27"/>
        <v>1500</v>
      </c>
      <c r="F57" s="384">
        <f t="shared" si="28"/>
        <v>2500</v>
      </c>
      <c r="G57" s="385">
        <f t="shared" si="29"/>
        <v>0</v>
      </c>
      <c r="H57" s="371">
        <f t="shared" si="33"/>
        <v>0</v>
      </c>
      <c r="I57" s="376">
        <f>COUNTIF(开!$BN$8:$BN$213,"产业"&amp;$B57)+COUNTIF('续 '!$BI$8:$BI$198,"产业"&amp;$B57)+COUNTIF(竣!$BJ$26:$BJ$130,"产业"&amp;$B57)</f>
        <v>1</v>
      </c>
      <c r="J57" s="376">
        <f>SUMIF(开!$BN$8:$BN$213,"产业"&amp;$B57,开!$F$8:$F$213)+SUMIF('续 '!$BI$8:$BI$198,"产业"&amp;$B57,'续 '!$F$8:$F$198)+SUMIF(竣!$BJ$26:$BJ$130,"产业"&amp;$B57,竣!$F$26:$F$130)</f>
        <v>25000</v>
      </c>
      <c r="K57" s="376">
        <f>SUMIF('续 '!$BI$8:$BI$198,"产业"&amp;$B57,'续 '!$G$8:$G$198)+SUMIF(竣!$BJ$26:$BJ$130,"产业"&amp;$B57,竣!$G$26:$G$130)</f>
        <v>1500</v>
      </c>
      <c r="L57" s="376">
        <f>SUMIF(开!$BN$8:$BN$213,"产业"&amp;$B57,开!$L$8:$L$213)+SUMIF('续 '!$BI$8:$BI$198,"产业"&amp;$B57,'续 '!$L$8:$L$198)+SUMIF(竣!$BJ$26:$BJ$130,"产业"&amp;$B57,竣!$L$26:$L$130)</f>
        <v>2500</v>
      </c>
      <c r="M57" s="403">
        <f t="shared" si="34"/>
        <v>1</v>
      </c>
      <c r="N57" s="376">
        <f>SUMIF(开!$BN$8:$BN$213,"产业"&amp;$B57,开!$P$8:$P$213)+SUMIF('续 '!$BI$8:$BI$198,"产业"&amp;$B57,'续 '!$O$8:$O$198)+SUMIF(竣!$BJ$26:$BJ$130,"产业"&amp;$B57,竣!$O$26:$O$130)</f>
        <v>0</v>
      </c>
      <c r="O57" s="402">
        <f t="shared" si="6"/>
        <v>0</v>
      </c>
      <c r="P57" s="376">
        <f>COUNTIF(开!$BN$8:$BN$213,"基础设施"&amp;$B57)+COUNTIF('续 '!$BI$8:$BI$198,"基础设施"&amp;$B57)+COUNTIF(竣!$BJ$26:$BJ$130,"基础设施"&amp;$B57)</f>
        <v>0</v>
      </c>
      <c r="Q57" s="376">
        <f>SUMIF(开!$BN$8:$BN$213,"基础设施"&amp;$B57,开!$F$8:$F$213)+SUMIF('续 '!$BI$8:$BI$198,"基础设施"&amp;$B57,'续 '!$F$8:$F$198)+SUMIF(竣!$BJ$26:$BJ$130,"基础设施"&amp;$B57,竣!$F$26:$F$130)</f>
        <v>0</v>
      </c>
      <c r="R57" s="376">
        <f>SUMIF('续 '!$BI$8:$BI$198,"基础设施"&amp;$B57,'续 '!$G$8:$G$198)+SUMIF(竣!$BJ$26:$BJ$130,"基础设施"&amp;$B57,竣!$G$26:$G$130)</f>
        <v>0</v>
      </c>
      <c r="S57" s="376">
        <f>SUMIF(开!$BN$8:$BN$213,"基础设施"&amp;$B57,开!$L$8:$L$213)+SUMIF('续 '!$BI$8:$BI$198,"基础设施"&amp;$B57,'续 '!$L$8:$L$198)+SUMIF(竣!$BJ$26:$BJ$130,"基础设施"&amp;$B57,竣!$L$26:$L$130)</f>
        <v>0</v>
      </c>
      <c r="T57" s="403">
        <f t="shared" si="35"/>
        <v>0</v>
      </c>
      <c r="U57" s="376">
        <f>SUMIF(开!$BN$8:$BN$213,"基础设施"&amp;$B57,开!$P$8:$P$213)+SUMIF('续 '!$BI$8:$BI$198,"基础设施"&amp;$B57,'续 '!$O$8:$O$198)+SUMIF(竣!$BJ$26:$BJ$130,"基础设施"&amp;$B57,竣!$O$26:$O$130)</f>
        <v>0</v>
      </c>
      <c r="V57" s="402" t="e">
        <f t="shared" si="7"/>
        <v>#DIV/0!</v>
      </c>
      <c r="W57" s="376">
        <f>COUNTIF(开!$BN$8:$BN$213,"民生设施"&amp;$B57)+COUNTIF('续 '!$BI$8:$BI$198,"民生设施"&amp;$B57)+COUNTIF(竣!$BJ$26:$BJ$130,"民生设施"&amp;$B57)</f>
        <v>0</v>
      </c>
      <c r="X57" s="376">
        <f>SUMIF(开!$BN$8:$BN$213,"民生设施"&amp;$B57,开!$F$8:$F$213)+SUMIF('续 '!$BI$8:$BI$198,"民生设施"&amp;$B57,'续 '!$F$8:$F$198)+SUMIF(竣!$BJ$26:$BJ$130,"民生设施"&amp;$B57,竣!$F$26:$F$130)</f>
        <v>0</v>
      </c>
      <c r="Y57" s="376">
        <f>SUMIF('续 '!$BI$8:$BI$198,"民生设施"&amp;$B57,'续 '!$G$8:$G$198)+SUMIF(竣!$BJ$26:$BJ$130,"民生设施"&amp;$B57,竣!$G$26:$G$130)</f>
        <v>0</v>
      </c>
      <c r="Z57" s="376">
        <f>SUMIF(开!$BN$8:$BN$213,"民生设施"&amp;$B57,开!$L$8:$L$213)+SUMIF('续 '!$BI$8:$BI$198,"民生设施"&amp;$B57,'续 '!$L$8:$L$198)+SUMIF(竣!$BJ$26:$BJ$130,"民生设施"&amp;$B57,竣!$L$26:$L$130)</f>
        <v>0</v>
      </c>
      <c r="AA57" s="403">
        <f t="shared" si="32"/>
        <v>0</v>
      </c>
      <c r="AB57" s="376">
        <f>SUMIF(开!$BN$8:$BN$213,"民生设施"&amp;$B57,开!$P$8:$P$213)+SUMIF('续 '!$BI$8:$BI$198,"民生设施"&amp;$B57,'续 '!$O$8:$O$198)+SUMIF(竣!$BJ$26:$BJ$130,"民生设施"&amp;$B57,竣!$O$26:$O$130)</f>
        <v>0</v>
      </c>
      <c r="AC57" s="402" t="e">
        <f t="shared" si="8"/>
        <v>#DIV/0!</v>
      </c>
    </row>
    <row r="58" s="334" customFormat="1" ht="30" customHeight="1" spans="1:29">
      <c r="A58" s="374"/>
      <c r="B58" s="381" t="s">
        <v>2790</v>
      </c>
      <c r="C58" s="376">
        <f t="shared" ref="C58:F60" si="36">I58+P58+W58</f>
        <v>0</v>
      </c>
      <c r="D58" s="384">
        <f t="shared" si="36"/>
        <v>0</v>
      </c>
      <c r="E58" s="384">
        <f t="shared" si="36"/>
        <v>0</v>
      </c>
      <c r="F58" s="384">
        <f t="shared" si="36"/>
        <v>0</v>
      </c>
      <c r="G58" s="385">
        <f t="shared" si="29"/>
        <v>0</v>
      </c>
      <c r="H58" s="371" t="e">
        <f t="shared" si="33"/>
        <v>#DIV/0!</v>
      </c>
      <c r="I58" s="376">
        <f>COUNTIF(开!$BN$8:$BN$213,"产业"&amp;$B58)+COUNTIF('续 '!$BI$8:$BI$198,"产业"&amp;$B58)+COUNTIF(竣!$BJ$26:$BJ$130,"产业"&amp;$B58)</f>
        <v>0</v>
      </c>
      <c r="J58" s="376">
        <f>SUMIF(开!$BN$8:$BN$213,"产业"&amp;$B58,开!$F$8:$F$213)+SUMIF('续 '!$BI$8:$BI$198,"产业"&amp;$B58,'续 '!$F$8:$F$198)+SUMIF(竣!$BJ$26:$BJ$130,"产业"&amp;$B58,竣!$F$26:$F$130)</f>
        <v>0</v>
      </c>
      <c r="K58" s="376">
        <f>SUMIF('续 '!$BI$8:$BI$198,"产业"&amp;$B58,'续 '!$G$8:$G$198)+SUMIF(竣!$BJ$26:$BJ$130,"产业"&amp;$B58,竣!$G$26:$G$130)</f>
        <v>0</v>
      </c>
      <c r="L58" s="376">
        <f>SUMIF(开!$BN$8:$BN$213,"产业"&amp;$B58,开!$L$8:$L$213)+SUMIF('续 '!$BI$8:$BI$198,"产业"&amp;$B58,'续 '!$L$8:$L$198)+SUMIF(竣!$BJ$26:$BJ$130,"产业"&amp;$B58,竣!$L$26:$L$130)</f>
        <v>0</v>
      </c>
      <c r="M58" s="403" t="e">
        <f t="shared" si="34"/>
        <v>#DIV/0!</v>
      </c>
      <c r="N58" s="376">
        <f>SUMIF(开!$BN$8:$BN$213,"产业"&amp;$B58,开!$P$8:$P$213)+SUMIF('续 '!$BI$8:$BI$198,"产业"&amp;$B58,'续 '!$O$8:$O$198)+SUMIF(竣!$BJ$26:$BJ$130,"产业"&amp;$B58,竣!$O$26:$O$130)</f>
        <v>0</v>
      </c>
      <c r="O58" s="402" t="e">
        <f t="shared" si="6"/>
        <v>#DIV/0!</v>
      </c>
      <c r="P58" s="376">
        <f>COUNTIF(开!$BN$8:$BN$213,"基础设施"&amp;$B58)+COUNTIF('续 '!$BI$8:$BI$198,"基础设施"&amp;$B58)+COUNTIF(竣!$BJ$26:$BJ$130,"基础设施"&amp;$B58)</f>
        <v>0</v>
      </c>
      <c r="Q58" s="376">
        <f>SUMIF(开!$BN$8:$BN$213,"基础设施"&amp;$B58,开!$F$8:$F$213)+SUMIF('续 '!$BI$8:$BI$198,"基础设施"&amp;$B58,'续 '!$F$8:$F$198)+SUMIF(竣!$BJ$26:$BJ$130,"基础设施"&amp;$B58,竣!$F$26:$F$130)</f>
        <v>0</v>
      </c>
      <c r="R58" s="376">
        <f>SUMIF('续 '!$BI$8:$BI$198,"基础设施"&amp;$B58,'续 '!$G$8:$G$198)+SUMIF(竣!$BJ$26:$BJ$130,"基础设施"&amp;$B58,竣!$G$26:$G$130)</f>
        <v>0</v>
      </c>
      <c r="S58" s="376">
        <f>SUMIF(开!$BN$8:$BN$213,"基础设施"&amp;$B58,开!$L$8:$L$213)+SUMIF('续 '!$BI$8:$BI$198,"基础设施"&amp;$B58,'续 '!$L$8:$L$198)+SUMIF(竣!$BJ$26:$BJ$130,"基础设施"&amp;$B58,竣!$L$26:$L$130)</f>
        <v>0</v>
      </c>
      <c r="T58" s="403" t="e">
        <f t="shared" si="35"/>
        <v>#DIV/0!</v>
      </c>
      <c r="U58" s="376">
        <f>SUMIF(开!$BN$8:$BN$213,"基础设施"&amp;$B58,开!$P$8:$P$213)+SUMIF('续 '!$BI$8:$BI$198,"基础设施"&amp;$B58,'续 '!$O$8:$O$198)+SUMIF(竣!$BJ$26:$BJ$130,"基础设施"&amp;$B58,竣!$O$26:$O$130)</f>
        <v>0</v>
      </c>
      <c r="V58" s="402" t="e">
        <f t="shared" si="7"/>
        <v>#DIV/0!</v>
      </c>
      <c r="W58" s="376">
        <f>COUNTIF(开!$BN$8:$BN$213,"民生设施"&amp;$B58)+COUNTIF('续 '!$BI$8:$BI$198,"民生设施"&amp;$B58)+COUNTIF(竣!$BJ$26:$BJ$130,"民生设施"&amp;$B58)</f>
        <v>0</v>
      </c>
      <c r="X58" s="376">
        <f>SUMIF(开!$BN$8:$BN$213,"民生设施"&amp;$B58,开!$F$8:$F$213)+SUMIF('续 '!$BI$8:$BI$198,"民生设施"&amp;$B58,'续 '!$F$8:$F$198)+SUMIF(竣!$BJ$26:$BJ$130,"民生设施"&amp;$B58,竣!$F$26:$F$130)</f>
        <v>0</v>
      </c>
      <c r="Y58" s="376">
        <f>SUMIF('续 '!$BI$8:$BI$198,"民生设施"&amp;$B58,'续 '!$G$8:$G$198)+SUMIF(竣!$BJ$26:$BJ$130,"民生设施"&amp;$B58,竣!$G$26:$G$130)</f>
        <v>0</v>
      </c>
      <c r="Z58" s="376">
        <f>SUMIF(开!$BN$8:$BN$213,"民生设施"&amp;$B58,开!$L$8:$L$213)+SUMIF('续 '!$BI$8:$BI$198,"民生设施"&amp;$B58,'续 '!$L$8:$L$198)+SUMIF(竣!$BJ$26:$BJ$130,"民生设施"&amp;$B58,竣!$L$26:$L$130)</f>
        <v>0</v>
      </c>
      <c r="AA58" s="403"/>
      <c r="AB58" s="376"/>
      <c r="AC58" s="402"/>
    </row>
    <row r="59" s="334" customFormat="1" ht="30" customHeight="1" spans="1:29">
      <c r="A59" s="374"/>
      <c r="B59" s="381" t="s">
        <v>2768</v>
      </c>
      <c r="C59" s="376">
        <f t="shared" si="36"/>
        <v>0</v>
      </c>
      <c r="D59" s="384">
        <f t="shared" si="36"/>
        <v>0</v>
      </c>
      <c r="E59" s="384">
        <f t="shared" si="36"/>
        <v>0</v>
      </c>
      <c r="F59" s="384">
        <f t="shared" si="36"/>
        <v>0</v>
      </c>
      <c r="G59" s="385">
        <f t="shared" si="29"/>
        <v>0</v>
      </c>
      <c r="H59" s="371" t="e">
        <f t="shared" si="33"/>
        <v>#DIV/0!</v>
      </c>
      <c r="I59" s="376">
        <f>COUNTIF(开!$BN$8:$BN$213,"产业"&amp;$B59)+COUNTIF('续 '!$BI$8:$BI$198,"产业"&amp;$B59)+COUNTIF(竣!$BJ$26:$BJ$130,"产业"&amp;$B59)</f>
        <v>0</v>
      </c>
      <c r="J59" s="376">
        <f>SUMIF(开!$BN$8:$BN$213,"产业"&amp;$B59,开!$F$8:$F$213)+SUMIF('续 '!$BI$8:$BI$198,"产业"&amp;$B59,'续 '!$F$8:$F$198)+SUMIF(竣!$BJ$26:$BJ$130,"产业"&amp;$B59,竣!$F$26:$F$130)</f>
        <v>0</v>
      </c>
      <c r="K59" s="376">
        <f>SUMIF('续 '!$BI$8:$BI$198,"产业"&amp;$B59,'续 '!$G$8:$G$198)+SUMIF(竣!$BJ$26:$BJ$130,"产业"&amp;$B59,竣!$G$26:$G$130)</f>
        <v>0</v>
      </c>
      <c r="L59" s="376">
        <f>SUMIF(开!$BN$8:$BN$213,"产业"&amp;$B59,开!$L$8:$L$213)+SUMIF('续 '!$BI$8:$BI$198,"产业"&amp;$B59,'续 '!$L$8:$L$198)+SUMIF(竣!$BJ$26:$BJ$130,"产业"&amp;$B59,竣!$L$26:$L$130)</f>
        <v>0</v>
      </c>
      <c r="M59" s="403" t="e">
        <f t="shared" si="34"/>
        <v>#DIV/0!</v>
      </c>
      <c r="N59" s="376">
        <f>SUMIF(开!$BN$8:$BN$213,"产业"&amp;$B59,开!$P$8:$P$213)+SUMIF('续 '!$BI$8:$BI$198,"产业"&amp;$B59,'续 '!$O$8:$O$198)+SUMIF(竣!$BJ$26:$BJ$130,"产业"&amp;$B59,竣!$O$26:$O$130)</f>
        <v>0</v>
      </c>
      <c r="O59" s="402" t="e">
        <f t="shared" si="6"/>
        <v>#DIV/0!</v>
      </c>
      <c r="P59" s="376">
        <f>COUNTIF(开!$BN$8:$BN$213,"基础设施"&amp;$B59)+COUNTIF('续 '!$BI$8:$BI$198,"基础设施"&amp;$B59)+COUNTIF(竣!$BJ$26:$BJ$130,"基础设施"&amp;$B59)</f>
        <v>0</v>
      </c>
      <c r="Q59" s="376">
        <f>SUMIF(开!$BN$8:$BN$213,"基础设施"&amp;$B59,开!$F$8:$F$213)+SUMIF('续 '!$BI$8:$BI$198,"基础设施"&amp;$B59,'续 '!$F$8:$F$198)+SUMIF(竣!$BJ$26:$BJ$130,"基础设施"&amp;$B59,竣!$F$26:$F$130)</f>
        <v>0</v>
      </c>
      <c r="R59" s="376">
        <f>SUMIF('续 '!$BI$8:$BI$198,"基础设施"&amp;$B59,'续 '!$G$8:$G$198)+SUMIF(竣!$BJ$26:$BJ$130,"基础设施"&amp;$B59,竣!$G$26:$G$130)</f>
        <v>0</v>
      </c>
      <c r="S59" s="376">
        <f>SUMIF(开!$BN$8:$BN$213,"基础设施"&amp;$B59,开!$L$8:$L$213)+SUMIF('续 '!$BI$8:$BI$198,"基础设施"&amp;$B59,'续 '!$L$8:$L$198)+SUMIF(竣!$BJ$26:$BJ$130,"基础设施"&amp;$B59,竣!$L$26:$L$130)</f>
        <v>0</v>
      </c>
      <c r="T59" s="403" t="e">
        <f t="shared" si="35"/>
        <v>#DIV/0!</v>
      </c>
      <c r="U59" s="376">
        <f>SUMIF(开!$BN$8:$BN$213,"基础设施"&amp;$B59,开!$P$8:$P$213)+SUMIF('续 '!$BI$8:$BI$198,"基础设施"&amp;$B59,'续 '!$O$8:$O$198)+SUMIF(竣!$BJ$26:$BJ$130,"基础设施"&amp;$B59,竣!$O$26:$O$130)</f>
        <v>0</v>
      </c>
      <c r="V59" s="402" t="e">
        <f t="shared" si="7"/>
        <v>#DIV/0!</v>
      </c>
      <c r="W59" s="376">
        <f>COUNTIF(开!$BN$8:$BN$213,"民生设施"&amp;$B59)+COUNTIF('续 '!$BI$8:$BI$198,"民生设施"&amp;$B59)+COUNTIF(竣!$BJ$26:$BJ$130,"民生设施"&amp;$B59)</f>
        <v>0</v>
      </c>
      <c r="X59" s="376">
        <f>SUMIF(开!$BN$8:$BN$213,"民生设施"&amp;$B59,开!$F$8:$F$213)+SUMIF('续 '!$BI$8:$BI$198,"民生设施"&amp;$B59,'续 '!$F$8:$F$198)+SUMIF(竣!$BJ$26:$BJ$130,"民生设施"&amp;$B59,竣!$F$26:$F$130)</f>
        <v>0</v>
      </c>
      <c r="Y59" s="376">
        <f>SUMIF('续 '!$BI$8:$BI$198,"民生设施"&amp;$B59,'续 '!$G$8:$G$198)+SUMIF(竣!$BJ$26:$BJ$130,"民生设施"&amp;$B59,竣!$G$26:$G$130)</f>
        <v>0</v>
      </c>
      <c r="Z59" s="376">
        <f>SUMIF(开!$BN$8:$BN$213,"民生设施"&amp;$B59,开!$L$8:$L$213)+SUMIF('续 '!$BI$8:$BI$198,"民生设施"&amp;$B59,'续 '!$L$8:$L$198)+SUMIF(竣!$BJ$26:$BJ$130,"民生设施"&amp;$B59,竣!$L$26:$L$130)</f>
        <v>0</v>
      </c>
      <c r="AA59" s="403"/>
      <c r="AB59" s="376"/>
      <c r="AC59" s="402"/>
    </row>
    <row r="60" s="334" customFormat="1" ht="30" customHeight="1" spans="1:29">
      <c r="A60" s="374">
        <v>29</v>
      </c>
      <c r="B60" s="381" t="s">
        <v>979</v>
      </c>
      <c r="C60" s="376">
        <f t="shared" si="36"/>
        <v>6</v>
      </c>
      <c r="D60" s="384">
        <f t="shared" si="36"/>
        <v>132590.03</v>
      </c>
      <c r="E60" s="384">
        <f t="shared" si="36"/>
        <v>76821</v>
      </c>
      <c r="F60" s="384">
        <f t="shared" si="36"/>
        <v>13900</v>
      </c>
      <c r="G60" s="385">
        <f t="shared" si="29"/>
        <v>0</v>
      </c>
      <c r="H60" s="371">
        <f t="shared" si="33"/>
        <v>0</v>
      </c>
      <c r="I60" s="376">
        <f>COUNTIF(开!$BN$8:$BN$213,"产业"&amp;$B60)+COUNTIF('续 '!$BI$8:$BI$198,"产业"&amp;$B60)+COUNTIF(竣!$BJ$26:$BJ$130,"产业"&amp;$B60)</f>
        <v>0</v>
      </c>
      <c r="J60" s="376">
        <f>SUMIF(开!$BN$8:$BN$213,"产业"&amp;$B60,开!$F$8:$F$213)+SUMIF('续 '!$BI$8:$BI$198,"产业"&amp;$B60,'续 '!$F$8:$F$198)+SUMIF(竣!$BJ$26:$BJ$130,"产业"&amp;$B60,竣!$F$26:$F$130)</f>
        <v>0</v>
      </c>
      <c r="K60" s="376">
        <f>SUMIF('续 '!$BI$8:$BI$198,"产业"&amp;$B60,'续 '!$G$8:$G$198)+SUMIF(竣!$BJ$26:$BJ$130,"产业"&amp;$B60,竣!$G$26:$G$130)</f>
        <v>0</v>
      </c>
      <c r="L60" s="376">
        <f>SUMIF(开!$BN$8:$BN$213,"产业"&amp;$B60,开!$L$8:$L$213)+SUMIF('续 '!$BI$8:$BI$198,"产业"&amp;$B60,'续 '!$L$8:$L$198)+SUMIF(竣!$BJ$26:$BJ$130,"产业"&amp;$B60,竣!$L$26:$L$130)</f>
        <v>0</v>
      </c>
      <c r="M60" s="403">
        <f t="shared" si="34"/>
        <v>0</v>
      </c>
      <c r="N60" s="376">
        <f>SUMIF(开!$BN$8:$BN$213,"产业"&amp;$B60,开!$P$8:$P$213)+SUMIF('续 '!$BI$8:$BI$198,"产业"&amp;$B60,'续 '!$O$8:$O$198)+SUMIF(竣!$BJ$26:$BJ$130,"产业"&amp;$B60,竣!$O$26:$O$130)</f>
        <v>0</v>
      </c>
      <c r="O60" s="402" t="e">
        <f t="shared" si="6"/>
        <v>#DIV/0!</v>
      </c>
      <c r="P60" s="376">
        <f>COUNTIF(开!$BN$8:$BN$213,"基础设施"&amp;$B60)+COUNTIF('续 '!$BI$8:$BI$198,"基础设施"&amp;$B60)+COUNTIF(竣!$BJ$26:$BJ$130,"基础设施"&amp;$B60)</f>
        <v>6</v>
      </c>
      <c r="Q60" s="376">
        <f>SUMIF(开!$BN$8:$BN$213,"基础设施"&amp;$B60,开!$F$8:$F$213)+SUMIF('续 '!$BI$8:$BI$198,"基础设施"&amp;$B60,'续 '!$F$8:$F$198)+SUMIF(竣!$BJ$26:$BJ$130,"基础设施"&amp;$B60,竣!$F$26:$F$130)</f>
        <v>132590.03</v>
      </c>
      <c r="R60" s="376">
        <f>SUMIF('续 '!$BI$8:$BI$198,"基础设施"&amp;$B60,'续 '!$G$8:$G$198)+SUMIF(竣!$BJ$26:$BJ$130,"基础设施"&amp;$B60,竣!$G$26:$G$130)</f>
        <v>76821</v>
      </c>
      <c r="S60" s="376">
        <f>SUMIF(开!$BN$8:$BN$213,"基础设施"&amp;$B60,开!$L$8:$L$213)+SUMIF('续 '!$BI$8:$BI$198,"基础设施"&amp;$B60,'续 '!$L$8:$L$198)+SUMIF(竣!$BJ$26:$BJ$130,"基础设施"&amp;$B60,竣!$L$26:$L$130)</f>
        <v>13900</v>
      </c>
      <c r="T60" s="403">
        <f t="shared" si="35"/>
        <v>1</v>
      </c>
      <c r="U60" s="376">
        <f>SUMIF(开!$BN$8:$BN$213,"基础设施"&amp;$B60,开!$P$8:$P$213)+SUMIF('续 '!$BI$8:$BI$198,"基础设施"&amp;$B60,'续 '!$O$8:$O$198)+SUMIF(竣!$BJ$26:$BJ$130,"基础设施"&amp;$B60,竣!$O$26:$O$130)</f>
        <v>0</v>
      </c>
      <c r="V60" s="402">
        <f t="shared" si="7"/>
        <v>0</v>
      </c>
      <c r="W60" s="376">
        <f>COUNTIF(开!$BN$8:$BN$213,"民生设施"&amp;$B60)+COUNTIF('续 '!$BI$8:$BI$198,"民生设施"&amp;$B60)+COUNTIF(竣!$BJ$26:$BJ$130,"民生设施"&amp;$B60)</f>
        <v>0</v>
      </c>
      <c r="X60" s="376">
        <f>SUMIF(开!$BN$8:$BN$213,"民生设施"&amp;$B60,开!$F$8:$F$213)+SUMIF('续 '!$BI$8:$BI$198,"民生设施"&amp;$B60,'续 '!$F$8:$F$198)+SUMIF(竣!$BJ$26:$BJ$130,"民生设施"&amp;$B60,竣!$F$26:$F$130)</f>
        <v>0</v>
      </c>
      <c r="Y60" s="376">
        <f>SUMIF('续 '!$BI$8:$BI$198,"民生设施"&amp;$B60,'续 '!$G$8:$G$198)+SUMIF(竣!$BJ$26:$BJ$130,"民生设施"&amp;$B60,竣!$G$26:$G$130)</f>
        <v>0</v>
      </c>
      <c r="Z60" s="376">
        <f>SUMIF(开!$BN$8:$BN$213,"民生设施"&amp;$B60,开!$L$8:$L$213)+SUMIF('续 '!$BI$8:$BI$198,"民生设施"&amp;$B60,'续 '!$L$8:$L$198)+SUMIF(竣!$BJ$26:$BJ$130,"民生设施"&amp;$B60,竣!$L$26:$L$130)</f>
        <v>0</v>
      </c>
      <c r="AA60" s="403">
        <f>Z60/F60</f>
        <v>0</v>
      </c>
      <c r="AB60" s="376"/>
      <c r="AC60" s="402"/>
    </row>
    <row r="61" ht="30" customHeight="1" spans="1:29">
      <c r="A61" s="372" t="s">
        <v>2012</v>
      </c>
      <c r="B61" s="373" t="s">
        <v>2769</v>
      </c>
      <c r="C61" s="368">
        <f t="shared" ref="C61:G61" si="37">SUM(C62+C69+C70)</f>
        <v>0</v>
      </c>
      <c r="D61" s="382">
        <f t="shared" si="37"/>
        <v>0</v>
      </c>
      <c r="E61" s="382">
        <f t="shared" si="37"/>
        <v>0</v>
      </c>
      <c r="F61" s="382">
        <f t="shared" si="37"/>
        <v>0</v>
      </c>
      <c r="G61" s="383">
        <f t="shared" si="37"/>
        <v>0</v>
      </c>
      <c r="H61" s="371" t="e">
        <f t="shared" si="33"/>
        <v>#DIV/0!</v>
      </c>
      <c r="I61" s="368">
        <f t="shared" ref="I61:Z61" si="38">SUM(I62+I69+I70)</f>
        <v>0</v>
      </c>
      <c r="J61" s="368">
        <f t="shared" si="38"/>
        <v>0</v>
      </c>
      <c r="K61" s="368"/>
      <c r="L61" s="368">
        <f t="shared" si="38"/>
        <v>0</v>
      </c>
      <c r="M61" s="403" t="e">
        <f t="shared" si="34"/>
        <v>#DIV/0!</v>
      </c>
      <c r="N61" s="368">
        <f>SUM(N62+N69+N70)</f>
        <v>0</v>
      </c>
      <c r="O61" s="402" t="e">
        <f t="shared" si="6"/>
        <v>#DIV/0!</v>
      </c>
      <c r="P61" s="368">
        <f t="shared" si="38"/>
        <v>0</v>
      </c>
      <c r="Q61" s="368">
        <f t="shared" si="38"/>
        <v>0</v>
      </c>
      <c r="R61" s="368">
        <f t="shared" si="38"/>
        <v>0</v>
      </c>
      <c r="S61" s="368">
        <f t="shared" si="38"/>
        <v>0</v>
      </c>
      <c r="T61" s="403" t="e">
        <f t="shared" si="35"/>
        <v>#DIV/0!</v>
      </c>
      <c r="U61" s="368">
        <f>SUM(U62+U69+U70)</f>
        <v>0</v>
      </c>
      <c r="V61" s="402" t="e">
        <f t="shared" si="7"/>
        <v>#DIV/0!</v>
      </c>
      <c r="W61" s="368">
        <f t="shared" si="38"/>
        <v>0</v>
      </c>
      <c r="X61" s="368">
        <f t="shared" si="38"/>
        <v>0</v>
      </c>
      <c r="Y61" s="368">
        <f t="shared" si="38"/>
        <v>0</v>
      </c>
      <c r="Z61" s="368">
        <f t="shared" si="38"/>
        <v>0</v>
      </c>
      <c r="AA61" s="403" t="e">
        <f t="shared" ref="AA61:AA71" si="39">Z61/F61</f>
        <v>#DIV/0!</v>
      </c>
      <c r="AB61" s="368">
        <f>SUM(AB62+AB69+AB70)</f>
        <v>0</v>
      </c>
      <c r="AC61" s="402" t="e">
        <f t="shared" si="8"/>
        <v>#DIV/0!</v>
      </c>
    </row>
    <row r="62" s="334" customFormat="1" ht="27" customHeight="1" spans="1:29">
      <c r="A62" s="374"/>
      <c r="B62" s="381" t="s">
        <v>455</v>
      </c>
      <c r="C62" s="376">
        <f t="shared" ref="C62:D70" si="40">I62+P62+W62</f>
        <v>0</v>
      </c>
      <c r="D62" s="384">
        <f t="shared" si="40"/>
        <v>0</v>
      </c>
      <c r="E62" s="384">
        <f>L62+S62+Z62</f>
        <v>0</v>
      </c>
      <c r="F62" s="384">
        <f>R62+Y62</f>
        <v>0</v>
      </c>
      <c r="G62" s="385">
        <f>S62+Z62</f>
        <v>0</v>
      </c>
      <c r="H62" s="371" t="e">
        <f t="shared" si="33"/>
        <v>#DIV/0!</v>
      </c>
      <c r="I62" s="376"/>
      <c r="J62" s="376"/>
      <c r="K62" s="376"/>
      <c r="L62" s="376"/>
      <c r="M62" s="403" t="e">
        <f t="shared" si="34"/>
        <v>#DIV/0!</v>
      </c>
      <c r="N62" s="376"/>
      <c r="O62" s="402" t="e">
        <f t="shared" si="6"/>
        <v>#DIV/0!</v>
      </c>
      <c r="P62" s="376"/>
      <c r="Q62" s="376"/>
      <c r="R62" s="376"/>
      <c r="S62" s="376"/>
      <c r="T62" s="403" t="e">
        <f t="shared" si="35"/>
        <v>#DIV/0!</v>
      </c>
      <c r="U62" s="376"/>
      <c r="V62" s="402" t="e">
        <f t="shared" si="7"/>
        <v>#DIV/0!</v>
      </c>
      <c r="W62" s="376"/>
      <c r="X62" s="376"/>
      <c r="Y62" s="376"/>
      <c r="Z62" s="376"/>
      <c r="AA62" s="403" t="e">
        <f t="shared" si="39"/>
        <v>#DIV/0!</v>
      </c>
      <c r="AB62" s="376"/>
      <c r="AC62" s="402" t="e">
        <f t="shared" si="8"/>
        <v>#DIV/0!</v>
      </c>
    </row>
    <row r="63" s="334" customFormat="1" ht="25.15" customHeight="1" spans="1:29">
      <c r="A63" s="374"/>
      <c r="B63" s="386" t="s">
        <v>455</v>
      </c>
      <c r="C63" s="376">
        <f t="shared" si="40"/>
        <v>0</v>
      </c>
      <c r="D63" s="384">
        <f t="shared" si="40"/>
        <v>0</v>
      </c>
      <c r="E63" s="384">
        <f t="shared" ref="E63:E70" si="41">R63+Y63</f>
        <v>0</v>
      </c>
      <c r="F63" s="384">
        <f t="shared" ref="F63:F70" si="42">L63+S63+Z63</f>
        <v>0</v>
      </c>
      <c r="G63" s="385">
        <f t="shared" ref="G63:G71" si="43">N63+U63+AB63</f>
        <v>0</v>
      </c>
      <c r="H63" s="371" t="e">
        <f t="shared" si="33"/>
        <v>#DIV/0!</v>
      </c>
      <c r="I63" s="411"/>
      <c r="J63" s="376"/>
      <c r="K63" s="376"/>
      <c r="L63" s="376"/>
      <c r="M63" s="403" t="e">
        <f t="shared" si="34"/>
        <v>#DIV/0!</v>
      </c>
      <c r="N63" s="376"/>
      <c r="O63" s="402" t="e">
        <f t="shared" si="6"/>
        <v>#DIV/0!</v>
      </c>
      <c r="P63" s="376"/>
      <c r="Q63" s="376"/>
      <c r="R63" s="376"/>
      <c r="S63" s="376"/>
      <c r="T63" s="403" t="e">
        <f t="shared" si="35"/>
        <v>#DIV/0!</v>
      </c>
      <c r="U63" s="376"/>
      <c r="V63" s="402" t="e">
        <f t="shared" si="7"/>
        <v>#DIV/0!</v>
      </c>
      <c r="W63" s="376"/>
      <c r="X63" s="376"/>
      <c r="Y63" s="376"/>
      <c r="Z63" s="376"/>
      <c r="AA63" s="403" t="e">
        <f t="shared" si="39"/>
        <v>#DIV/0!</v>
      </c>
      <c r="AB63" s="376"/>
      <c r="AC63" s="402" t="e">
        <f t="shared" si="8"/>
        <v>#DIV/0!</v>
      </c>
    </row>
    <row r="64" s="334" customFormat="1" ht="25.15" customHeight="1" spans="1:29">
      <c r="A64" s="374"/>
      <c r="B64" s="386" t="s">
        <v>2770</v>
      </c>
      <c r="C64" s="376">
        <f>I64+P64+W64</f>
        <v>0</v>
      </c>
      <c r="D64" s="384">
        <f>J64+Q64+X64</f>
        <v>0</v>
      </c>
      <c r="E64" s="384">
        <f t="shared" si="41"/>
        <v>0</v>
      </c>
      <c r="F64" s="384">
        <f t="shared" si="42"/>
        <v>0</v>
      </c>
      <c r="G64" s="385">
        <f t="shared" si="43"/>
        <v>0</v>
      </c>
      <c r="H64" s="371" t="e">
        <f t="shared" si="33"/>
        <v>#DIV/0!</v>
      </c>
      <c r="I64" s="411"/>
      <c r="J64" s="376"/>
      <c r="K64" s="376"/>
      <c r="L64" s="376"/>
      <c r="M64" s="403" t="e">
        <f t="shared" si="34"/>
        <v>#DIV/0!</v>
      </c>
      <c r="N64" s="376"/>
      <c r="O64" s="402" t="e">
        <f t="shared" si="6"/>
        <v>#DIV/0!</v>
      </c>
      <c r="P64" s="376"/>
      <c r="Q64" s="376"/>
      <c r="R64" s="376"/>
      <c r="S64" s="376"/>
      <c r="T64" s="403" t="e">
        <f t="shared" si="35"/>
        <v>#DIV/0!</v>
      </c>
      <c r="U64" s="376"/>
      <c r="V64" s="402" t="e">
        <f t="shared" si="7"/>
        <v>#DIV/0!</v>
      </c>
      <c r="W64" s="376"/>
      <c r="X64" s="376"/>
      <c r="Y64" s="376"/>
      <c r="Z64" s="376"/>
      <c r="AA64" s="403" t="e">
        <f t="shared" si="39"/>
        <v>#DIV/0!</v>
      </c>
      <c r="AB64" s="376"/>
      <c r="AC64" s="402" t="e">
        <f t="shared" si="8"/>
        <v>#DIV/0!</v>
      </c>
    </row>
    <row r="65" s="334" customFormat="1" ht="25.15" customHeight="1" spans="1:29">
      <c r="A65" s="374"/>
      <c r="B65" s="386" t="s">
        <v>2771</v>
      </c>
      <c r="C65" s="376">
        <f>I65+P65+W65</f>
        <v>0</v>
      </c>
      <c r="D65" s="384">
        <f>J65+Q65+X65</f>
        <v>0</v>
      </c>
      <c r="E65" s="384">
        <f t="shared" si="41"/>
        <v>0</v>
      </c>
      <c r="F65" s="384">
        <f t="shared" si="42"/>
        <v>0</v>
      </c>
      <c r="G65" s="385">
        <f t="shared" si="43"/>
        <v>0</v>
      </c>
      <c r="H65" s="371" t="e">
        <f t="shared" si="33"/>
        <v>#DIV/0!</v>
      </c>
      <c r="I65" s="411"/>
      <c r="J65" s="376"/>
      <c r="K65" s="376"/>
      <c r="L65" s="376"/>
      <c r="M65" s="403" t="e">
        <f t="shared" si="34"/>
        <v>#DIV/0!</v>
      </c>
      <c r="N65" s="376"/>
      <c r="O65" s="402" t="e">
        <f t="shared" si="6"/>
        <v>#DIV/0!</v>
      </c>
      <c r="P65" s="376"/>
      <c r="Q65" s="376"/>
      <c r="R65" s="376"/>
      <c r="S65" s="376"/>
      <c r="T65" s="403" t="e">
        <f t="shared" si="35"/>
        <v>#DIV/0!</v>
      </c>
      <c r="U65" s="376"/>
      <c r="V65" s="402" t="e">
        <f t="shared" si="7"/>
        <v>#DIV/0!</v>
      </c>
      <c r="W65" s="376"/>
      <c r="X65" s="376"/>
      <c r="Y65" s="376"/>
      <c r="Z65" s="376"/>
      <c r="AA65" s="403" t="e">
        <f t="shared" si="39"/>
        <v>#DIV/0!</v>
      </c>
      <c r="AB65" s="376"/>
      <c r="AC65" s="402" t="e">
        <f t="shared" si="8"/>
        <v>#DIV/0!</v>
      </c>
    </row>
    <row r="66" s="334" customFormat="1" ht="25.15" customHeight="1" spans="1:29">
      <c r="A66" s="374"/>
      <c r="B66" s="386" t="s">
        <v>2772</v>
      </c>
      <c r="C66" s="376">
        <f t="shared" si="40"/>
        <v>0</v>
      </c>
      <c r="D66" s="384">
        <f t="shared" si="40"/>
        <v>0</v>
      </c>
      <c r="E66" s="384">
        <f t="shared" si="41"/>
        <v>0</v>
      </c>
      <c r="F66" s="384">
        <f t="shared" si="42"/>
        <v>0</v>
      </c>
      <c r="G66" s="385">
        <f t="shared" si="43"/>
        <v>0</v>
      </c>
      <c r="H66" s="371" t="e">
        <f t="shared" si="33"/>
        <v>#DIV/0!</v>
      </c>
      <c r="I66" s="411"/>
      <c r="J66" s="376"/>
      <c r="K66" s="376"/>
      <c r="L66" s="376"/>
      <c r="M66" s="403" t="e">
        <f t="shared" si="34"/>
        <v>#DIV/0!</v>
      </c>
      <c r="N66" s="376"/>
      <c r="O66" s="402" t="e">
        <f t="shared" si="6"/>
        <v>#DIV/0!</v>
      </c>
      <c r="P66" s="376"/>
      <c r="Q66" s="376"/>
      <c r="R66" s="376"/>
      <c r="S66" s="376"/>
      <c r="T66" s="403" t="e">
        <f t="shared" si="35"/>
        <v>#DIV/0!</v>
      </c>
      <c r="U66" s="376"/>
      <c r="V66" s="402" t="e">
        <f t="shared" si="7"/>
        <v>#DIV/0!</v>
      </c>
      <c r="W66" s="376"/>
      <c r="X66" s="376"/>
      <c r="Y66" s="376"/>
      <c r="Z66" s="376"/>
      <c r="AA66" s="403" t="e">
        <f t="shared" si="39"/>
        <v>#DIV/0!</v>
      </c>
      <c r="AB66" s="376"/>
      <c r="AC66" s="402" t="e">
        <f t="shared" si="8"/>
        <v>#DIV/0!</v>
      </c>
    </row>
    <row r="67" s="334" customFormat="1" ht="37.9" customHeight="1" spans="1:29">
      <c r="A67" s="374"/>
      <c r="B67" s="386" t="s">
        <v>2773</v>
      </c>
      <c r="C67" s="376">
        <f t="shared" si="40"/>
        <v>0</v>
      </c>
      <c r="D67" s="384">
        <f t="shared" si="40"/>
        <v>0</v>
      </c>
      <c r="E67" s="384">
        <f t="shared" si="41"/>
        <v>0</v>
      </c>
      <c r="F67" s="384">
        <f t="shared" si="42"/>
        <v>0</v>
      </c>
      <c r="G67" s="385">
        <f t="shared" si="43"/>
        <v>0</v>
      </c>
      <c r="H67" s="371" t="e">
        <f t="shared" si="33"/>
        <v>#DIV/0!</v>
      </c>
      <c r="I67" s="411"/>
      <c r="J67" s="376"/>
      <c r="K67" s="376"/>
      <c r="L67" s="376"/>
      <c r="M67" s="403" t="e">
        <f t="shared" si="34"/>
        <v>#DIV/0!</v>
      </c>
      <c r="N67" s="376"/>
      <c r="O67" s="402" t="e">
        <f t="shared" si="6"/>
        <v>#DIV/0!</v>
      </c>
      <c r="P67" s="376"/>
      <c r="Q67" s="376"/>
      <c r="R67" s="376"/>
      <c r="S67" s="376"/>
      <c r="T67" s="403" t="e">
        <f t="shared" si="35"/>
        <v>#DIV/0!</v>
      </c>
      <c r="U67" s="376"/>
      <c r="V67" s="402" t="e">
        <f t="shared" si="7"/>
        <v>#DIV/0!</v>
      </c>
      <c r="W67" s="376"/>
      <c r="X67" s="376"/>
      <c r="Y67" s="376"/>
      <c r="Z67" s="376"/>
      <c r="AA67" s="403" t="e">
        <f t="shared" si="39"/>
        <v>#DIV/0!</v>
      </c>
      <c r="AB67" s="376"/>
      <c r="AC67" s="402" t="e">
        <f t="shared" si="8"/>
        <v>#DIV/0!</v>
      </c>
    </row>
    <row r="68" s="334" customFormat="1" ht="25.15" customHeight="1" spans="1:29">
      <c r="A68" s="374"/>
      <c r="B68" s="386" t="s">
        <v>2774</v>
      </c>
      <c r="C68" s="376">
        <f t="shared" si="40"/>
        <v>0</v>
      </c>
      <c r="D68" s="384">
        <f t="shared" si="40"/>
        <v>0</v>
      </c>
      <c r="E68" s="384">
        <f t="shared" si="41"/>
        <v>0</v>
      </c>
      <c r="F68" s="384">
        <f t="shared" si="42"/>
        <v>0</v>
      </c>
      <c r="G68" s="385">
        <f t="shared" si="43"/>
        <v>0</v>
      </c>
      <c r="H68" s="371" t="e">
        <f t="shared" si="33"/>
        <v>#DIV/0!</v>
      </c>
      <c r="I68" s="411"/>
      <c r="J68" s="376"/>
      <c r="K68" s="376"/>
      <c r="L68" s="376"/>
      <c r="M68" s="403" t="e">
        <f t="shared" si="34"/>
        <v>#DIV/0!</v>
      </c>
      <c r="N68" s="376"/>
      <c r="O68" s="402" t="e">
        <f t="shared" si="6"/>
        <v>#DIV/0!</v>
      </c>
      <c r="P68" s="376"/>
      <c r="Q68" s="376"/>
      <c r="R68" s="376"/>
      <c r="S68" s="376"/>
      <c r="T68" s="403" t="e">
        <f t="shared" si="35"/>
        <v>#DIV/0!</v>
      </c>
      <c r="U68" s="376"/>
      <c r="V68" s="402" t="e">
        <f t="shared" si="7"/>
        <v>#DIV/0!</v>
      </c>
      <c r="W68" s="376"/>
      <c r="X68" s="376"/>
      <c r="Y68" s="376"/>
      <c r="Z68" s="376"/>
      <c r="AA68" s="403" t="e">
        <f t="shared" si="39"/>
        <v>#DIV/0!</v>
      </c>
      <c r="AB68" s="376"/>
      <c r="AC68" s="402" t="e">
        <f t="shared" si="8"/>
        <v>#DIV/0!</v>
      </c>
    </row>
    <row r="69" s="334" customFormat="1" ht="27" customHeight="1" spans="1:29">
      <c r="A69" s="374"/>
      <c r="B69" s="381" t="s">
        <v>1040</v>
      </c>
      <c r="C69" s="376">
        <f t="shared" si="40"/>
        <v>0</v>
      </c>
      <c r="D69" s="384">
        <f t="shared" si="40"/>
        <v>0</v>
      </c>
      <c r="E69" s="384">
        <f t="shared" si="41"/>
        <v>0</v>
      </c>
      <c r="F69" s="384">
        <f t="shared" si="42"/>
        <v>0</v>
      </c>
      <c r="G69" s="385">
        <f t="shared" si="43"/>
        <v>0</v>
      </c>
      <c r="H69" s="371" t="e">
        <f t="shared" si="33"/>
        <v>#DIV/0!</v>
      </c>
      <c r="I69" s="428"/>
      <c r="J69" s="376"/>
      <c r="K69" s="376"/>
      <c r="L69" s="376"/>
      <c r="M69" s="403" t="e">
        <f t="shared" si="34"/>
        <v>#DIV/0!</v>
      </c>
      <c r="N69" s="376"/>
      <c r="O69" s="402" t="e">
        <f t="shared" si="6"/>
        <v>#DIV/0!</v>
      </c>
      <c r="P69" s="376"/>
      <c r="Q69" s="376"/>
      <c r="R69" s="376"/>
      <c r="S69" s="376"/>
      <c r="T69" s="403" t="e">
        <f t="shared" si="35"/>
        <v>#DIV/0!</v>
      </c>
      <c r="U69" s="376"/>
      <c r="V69" s="402" t="e">
        <f t="shared" si="7"/>
        <v>#DIV/0!</v>
      </c>
      <c r="W69" s="376"/>
      <c r="X69" s="376"/>
      <c r="Y69" s="376"/>
      <c r="Z69" s="376"/>
      <c r="AA69" s="403" t="e">
        <f t="shared" si="39"/>
        <v>#DIV/0!</v>
      </c>
      <c r="AB69" s="376"/>
      <c r="AC69" s="402" t="e">
        <f t="shared" si="8"/>
        <v>#DIV/0!</v>
      </c>
    </row>
    <row r="70" s="334" customFormat="1" ht="27" customHeight="1" spans="1:29">
      <c r="A70" s="374"/>
      <c r="B70" s="381" t="s">
        <v>1003</v>
      </c>
      <c r="C70" s="376">
        <f t="shared" si="40"/>
        <v>0</v>
      </c>
      <c r="D70" s="384">
        <f t="shared" si="40"/>
        <v>0</v>
      </c>
      <c r="E70" s="384">
        <f t="shared" si="41"/>
        <v>0</v>
      </c>
      <c r="F70" s="384">
        <f t="shared" si="42"/>
        <v>0</v>
      </c>
      <c r="G70" s="385">
        <f t="shared" si="43"/>
        <v>0</v>
      </c>
      <c r="H70" s="371" t="e">
        <f t="shared" si="33"/>
        <v>#DIV/0!</v>
      </c>
      <c r="I70" s="428"/>
      <c r="J70" s="376"/>
      <c r="K70" s="376"/>
      <c r="L70" s="376"/>
      <c r="M70" s="403" t="e">
        <f t="shared" si="34"/>
        <v>#DIV/0!</v>
      </c>
      <c r="N70" s="376"/>
      <c r="O70" s="402" t="e">
        <f t="shared" si="6"/>
        <v>#DIV/0!</v>
      </c>
      <c r="P70" s="376"/>
      <c r="Q70" s="376"/>
      <c r="R70" s="376"/>
      <c r="S70" s="376"/>
      <c r="T70" s="403" t="e">
        <f t="shared" si="35"/>
        <v>#DIV/0!</v>
      </c>
      <c r="U70" s="376"/>
      <c r="V70" s="402" t="e">
        <f t="shared" si="7"/>
        <v>#DIV/0!</v>
      </c>
      <c r="W70" s="376"/>
      <c r="X70" s="376"/>
      <c r="Y70" s="376"/>
      <c r="Z70" s="376"/>
      <c r="AA70" s="403" t="e">
        <f t="shared" si="39"/>
        <v>#DIV/0!</v>
      </c>
      <c r="AB70" s="376"/>
      <c r="AC70" s="402" t="e">
        <f t="shared" si="8"/>
        <v>#DIV/0!</v>
      </c>
    </row>
    <row r="71" ht="30" customHeight="1" spans="1:247">
      <c r="A71" s="374"/>
      <c r="B71" s="378" t="s">
        <v>2775</v>
      </c>
      <c r="C71" s="376">
        <f>C7-C9-C10-C11-C12-C14-C18-C20</f>
        <v>119</v>
      </c>
      <c r="D71" s="376">
        <f t="shared" ref="D71:Z71" si="44">D7-D9-D10-D11-D12-D14-D18-D20</f>
        <v>10455650.53</v>
      </c>
      <c r="E71" s="376">
        <f ca="1" t="shared" si="44"/>
        <v>1614662.4</v>
      </c>
      <c r="F71" s="376">
        <f t="shared" si="44"/>
        <v>1477365</v>
      </c>
      <c r="G71" s="385">
        <f t="shared" si="43"/>
        <v>0</v>
      </c>
      <c r="H71" s="371">
        <f t="shared" si="33"/>
        <v>0</v>
      </c>
      <c r="I71" s="376">
        <f t="shared" si="44"/>
        <v>46</v>
      </c>
      <c r="J71" s="376">
        <f t="shared" si="44"/>
        <v>4576485</v>
      </c>
      <c r="K71" s="376">
        <f t="shared" si="44"/>
        <v>382683</v>
      </c>
      <c r="L71" s="376">
        <f t="shared" si="44"/>
        <v>582771</v>
      </c>
      <c r="M71" s="403">
        <f t="shared" si="34"/>
        <v>0.39446649947711</v>
      </c>
      <c r="N71" s="376">
        <f>N7-N9-N10-N11-N12-N14-N18-N20</f>
        <v>0</v>
      </c>
      <c r="O71" s="402">
        <f t="shared" si="6"/>
        <v>0</v>
      </c>
      <c r="P71" s="376">
        <f t="shared" si="44"/>
        <v>69</v>
      </c>
      <c r="Q71" s="376">
        <f t="shared" si="44"/>
        <v>5813377.53</v>
      </c>
      <c r="R71" s="376">
        <f t="shared" si="44"/>
        <v>1225479.4</v>
      </c>
      <c r="S71" s="376">
        <f t="shared" si="44"/>
        <v>877894</v>
      </c>
      <c r="T71" s="403">
        <f t="shared" si="35"/>
        <v>0.594229591197842</v>
      </c>
      <c r="U71" s="376">
        <f>U7-U9-U10-U11-U12-U14-U18-U20</f>
        <v>0</v>
      </c>
      <c r="V71" s="402">
        <f t="shared" si="7"/>
        <v>0</v>
      </c>
      <c r="W71" s="376">
        <f t="shared" si="44"/>
        <v>4</v>
      </c>
      <c r="X71" s="376">
        <f t="shared" si="44"/>
        <v>65787.9999999999</v>
      </c>
      <c r="Y71" s="376">
        <f ca="1" t="shared" si="44"/>
        <v>6500</v>
      </c>
      <c r="Z71" s="376">
        <f t="shared" si="44"/>
        <v>16700</v>
      </c>
      <c r="AA71" s="403">
        <f t="shared" si="39"/>
        <v>0.0113039093250483</v>
      </c>
      <c r="AB71" s="376">
        <f>AB7-AB9-AB10-AB11-AB12-AB14-AB18-AB20</f>
        <v>0</v>
      </c>
      <c r="AC71" s="402">
        <f t="shared" si="8"/>
        <v>0</v>
      </c>
      <c r="AD71" s="334"/>
      <c r="AE71" s="334"/>
      <c r="AF71" s="334"/>
      <c r="AG71" s="334"/>
      <c r="AH71" s="334"/>
      <c r="AI71" s="334"/>
      <c r="AJ71" s="334"/>
      <c r="AK71" s="334"/>
      <c r="AL71" s="334"/>
      <c r="AM71" s="334"/>
      <c r="AN71" s="334"/>
      <c r="AO71" s="334"/>
      <c r="AP71" s="334"/>
      <c r="AQ71" s="334"/>
      <c r="AR71" s="334"/>
      <c r="AS71" s="334"/>
      <c r="AT71" s="334"/>
      <c r="AU71" s="334"/>
      <c r="AV71" s="334"/>
      <c r="AW71" s="334"/>
      <c r="AX71" s="334"/>
      <c r="AY71" s="334"/>
      <c r="AZ71" s="334"/>
      <c r="BA71" s="334"/>
      <c r="BB71" s="334"/>
      <c r="BC71" s="334"/>
      <c r="BD71" s="334"/>
      <c r="BE71" s="334"/>
      <c r="BF71" s="334"/>
      <c r="BG71" s="334"/>
      <c r="BH71" s="334"/>
      <c r="BI71" s="334"/>
      <c r="BJ71" s="334"/>
      <c r="BK71" s="334"/>
      <c r="BL71" s="334"/>
      <c r="BM71" s="334"/>
      <c r="BN71" s="334"/>
      <c r="BO71" s="334"/>
      <c r="BP71" s="334"/>
      <c r="BQ71" s="334"/>
      <c r="BR71" s="334"/>
      <c r="BS71" s="334"/>
      <c r="BT71" s="334"/>
      <c r="BU71" s="334"/>
      <c r="BV71" s="334"/>
      <c r="BW71" s="334"/>
      <c r="BX71" s="334"/>
      <c r="BY71" s="334"/>
      <c r="BZ71" s="334"/>
      <c r="CA71" s="334"/>
      <c r="CB71" s="334"/>
      <c r="CC71" s="334"/>
      <c r="CD71" s="334"/>
      <c r="CE71" s="334"/>
      <c r="CF71" s="334"/>
      <c r="CG71" s="334"/>
      <c r="CH71" s="334"/>
      <c r="CI71" s="334"/>
      <c r="CJ71" s="334"/>
      <c r="CK71" s="334"/>
      <c r="CL71" s="334"/>
      <c r="CM71" s="334"/>
      <c r="CN71" s="334"/>
      <c r="CO71" s="334"/>
      <c r="CP71" s="334"/>
      <c r="CQ71" s="334"/>
      <c r="CR71" s="334"/>
      <c r="CS71" s="334"/>
      <c r="CT71" s="334"/>
      <c r="CU71" s="334"/>
      <c r="CV71" s="334"/>
      <c r="CW71" s="334"/>
      <c r="CX71" s="334"/>
      <c r="CY71" s="334"/>
      <c r="CZ71" s="334"/>
      <c r="DA71" s="334"/>
      <c r="DB71" s="334"/>
      <c r="DC71" s="334"/>
      <c r="DD71" s="334"/>
      <c r="DE71" s="334"/>
      <c r="DF71" s="334"/>
      <c r="DG71" s="334"/>
      <c r="DH71" s="334"/>
      <c r="DI71" s="334"/>
      <c r="DJ71" s="334"/>
      <c r="DK71" s="334"/>
      <c r="DL71" s="334"/>
      <c r="DM71" s="334"/>
      <c r="DN71" s="334"/>
      <c r="DO71" s="334"/>
      <c r="DP71" s="334"/>
      <c r="DQ71" s="334"/>
      <c r="DR71" s="334"/>
      <c r="DS71" s="334"/>
      <c r="DT71" s="334"/>
      <c r="DU71" s="334"/>
      <c r="DV71" s="334"/>
      <c r="DW71" s="334"/>
      <c r="DX71" s="334"/>
      <c r="DY71" s="334"/>
      <c r="DZ71" s="334"/>
      <c r="EA71" s="334"/>
      <c r="EB71" s="334"/>
      <c r="EC71" s="334"/>
      <c r="ED71" s="334"/>
      <c r="EE71" s="334"/>
      <c r="EF71" s="334"/>
      <c r="EG71" s="334"/>
      <c r="EH71" s="334"/>
      <c r="EI71" s="334"/>
      <c r="EJ71" s="334"/>
      <c r="EK71" s="334"/>
      <c r="EL71" s="334"/>
      <c r="EM71" s="334"/>
      <c r="EN71" s="334"/>
      <c r="EO71" s="334"/>
      <c r="EP71" s="334"/>
      <c r="EQ71" s="334"/>
      <c r="ER71" s="334"/>
      <c r="ES71" s="334"/>
      <c r="ET71" s="334"/>
      <c r="EU71" s="334"/>
      <c r="EV71" s="334"/>
      <c r="EW71" s="334"/>
      <c r="EX71" s="334"/>
      <c r="EY71" s="334"/>
      <c r="EZ71" s="334"/>
      <c r="FA71" s="334"/>
      <c r="FB71" s="334"/>
      <c r="FC71" s="334"/>
      <c r="FD71" s="334"/>
      <c r="FE71" s="334"/>
      <c r="FF71" s="334"/>
      <c r="FG71" s="334"/>
      <c r="FH71" s="334"/>
      <c r="FI71" s="334"/>
      <c r="FJ71" s="334"/>
      <c r="FK71" s="334"/>
      <c r="FL71" s="334"/>
      <c r="FM71" s="334"/>
      <c r="FN71" s="334"/>
      <c r="FO71" s="334"/>
      <c r="FP71" s="334"/>
      <c r="FQ71" s="334"/>
      <c r="FR71" s="334"/>
      <c r="FS71" s="334"/>
      <c r="FT71" s="334"/>
      <c r="FU71" s="334"/>
      <c r="FV71" s="334"/>
      <c r="FW71" s="334"/>
      <c r="FX71" s="334"/>
      <c r="FY71" s="334"/>
      <c r="FZ71" s="334"/>
      <c r="GA71" s="334"/>
      <c r="GB71" s="334"/>
      <c r="GC71" s="334"/>
      <c r="GD71" s="334"/>
      <c r="GE71" s="334"/>
      <c r="GF71" s="334"/>
      <c r="GG71" s="334"/>
      <c r="GH71" s="334"/>
      <c r="GI71" s="334"/>
      <c r="GJ71" s="334"/>
      <c r="GK71" s="334"/>
      <c r="GL71" s="334"/>
      <c r="GM71" s="334"/>
      <c r="GN71" s="334"/>
      <c r="GO71" s="334"/>
      <c r="GP71" s="334"/>
      <c r="GQ71" s="334"/>
      <c r="GR71" s="334"/>
      <c r="GS71" s="334"/>
      <c r="GT71" s="334"/>
      <c r="GU71" s="334"/>
      <c r="GV71" s="334"/>
      <c r="GW71" s="334"/>
      <c r="GX71" s="334"/>
      <c r="GY71" s="334"/>
      <c r="GZ71" s="334"/>
      <c r="HA71" s="334"/>
      <c r="HB71" s="334"/>
      <c r="HC71" s="334"/>
      <c r="HD71" s="334"/>
      <c r="HE71" s="334"/>
      <c r="HF71" s="334"/>
      <c r="HG71" s="334"/>
      <c r="HH71" s="334"/>
      <c r="HI71" s="334"/>
      <c r="HJ71" s="334"/>
      <c r="HK71" s="334"/>
      <c r="HL71" s="334"/>
      <c r="HM71" s="334"/>
      <c r="HN71" s="334"/>
      <c r="HO71" s="334"/>
      <c r="HP71" s="334"/>
      <c r="HQ71" s="334"/>
      <c r="HR71" s="334"/>
      <c r="HS71" s="334"/>
      <c r="HT71" s="334"/>
      <c r="HU71" s="334"/>
      <c r="HV71" s="334"/>
      <c r="HW71" s="334"/>
      <c r="HX71" s="334"/>
      <c r="HY71" s="334"/>
      <c r="HZ71" s="334"/>
      <c r="IA71" s="334"/>
      <c r="IB71" s="334"/>
      <c r="IC71" s="334"/>
      <c r="ID71" s="334"/>
      <c r="IE71" s="334"/>
      <c r="IF71" s="334"/>
      <c r="IG71" s="334"/>
      <c r="IH71" s="334"/>
      <c r="II71" s="334"/>
      <c r="IJ71" s="334"/>
      <c r="IK71" s="334"/>
      <c r="IL71" s="334"/>
      <c r="IM71" s="334"/>
    </row>
  </sheetData>
  <autoFilter ref="A6:Z71">
    <extLst/>
  </autoFilter>
  <mergeCells count="13">
    <mergeCell ref="A2:AA2"/>
    <mergeCell ref="I4:O4"/>
    <mergeCell ref="P4:V4"/>
    <mergeCell ref="W4:AA4"/>
    <mergeCell ref="A7:B7"/>
    <mergeCell ref="A4:A5"/>
    <mergeCell ref="B4:B5"/>
    <mergeCell ref="C4:C5"/>
    <mergeCell ref="D4:D5"/>
    <mergeCell ref="E4:E5"/>
    <mergeCell ref="F4:F5"/>
    <mergeCell ref="G4:G5"/>
    <mergeCell ref="H4:H5"/>
  </mergeCells>
  <conditionalFormatting sqref="B23:B36">
    <cfRule type="duplicateValues" dxfId="0" priority="1" stopIfTrue="1"/>
  </conditionalFormatting>
  <conditionalFormatting sqref="B58:B60">
    <cfRule type="duplicateValues" dxfId="0" priority="2" stopIfTrue="1"/>
  </conditionalFormatting>
  <printOptions horizontalCentered="1"/>
  <pageMargins left="0.209722222222222" right="0.169444444444444" top="0.829861111111111" bottom="0.75" header="0.159027777777778" footer="0.469444444444444"/>
  <pageSetup paperSize="9" scale="64" firstPageNumber="4294963191" fitToHeight="0" orientation="landscape" blackAndWhite="1" useFirstPageNumber="1"/>
  <headerFooter alignWithMargins="0">
    <oddFooter>&amp;C第 &amp;P 页，共 &amp;N 页</oddFooter>
  </headerFooter>
  <rowBreaks count="1" manualBreakCount="1">
    <brk id="21" max="20" man="1"/>
  </rowBreaks>
</worksheet>
</file>

<file path=docProps/app.xml><?xml version="1.0" encoding="utf-8"?>
<Properties xmlns="http://schemas.openxmlformats.org/officeDocument/2006/extended-properties" xmlns:vt="http://schemas.openxmlformats.org/officeDocument/2006/docPropsVTypes">
  <Company>钦州市发改委投资科</Company>
  <Application>Microsoft Excel</Application>
  <HeadingPairs>
    <vt:vector size="2" baseType="variant">
      <vt:variant>
        <vt:lpstr>工作表</vt:lpstr>
      </vt:variant>
      <vt:variant>
        <vt:i4>13</vt:i4>
      </vt:variant>
    </vt:vector>
  </HeadingPairs>
  <TitlesOfParts>
    <vt:vector size="13" baseType="lpstr">
      <vt:lpstr>产业类</vt:lpstr>
      <vt:lpstr>基础设施类</vt:lpstr>
      <vt:lpstr>民生保障类</vt:lpstr>
      <vt:lpstr>开</vt:lpstr>
      <vt:lpstr>续 </vt:lpstr>
      <vt:lpstr>竣</vt:lpstr>
      <vt:lpstr>行业</vt:lpstr>
      <vt:lpstr>单位</vt:lpstr>
      <vt:lpstr>类别</vt:lpstr>
      <vt:lpstr>资金</vt:lpstr>
      <vt:lpstr>县账</vt:lpstr>
      <vt:lpstr>行账</vt:lpstr>
      <vt:lpstr>删除</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dc:creator>
  <cp:lastModifiedBy>农朝海</cp:lastModifiedBy>
  <cp:revision>1</cp:revision>
  <dcterms:created xsi:type="dcterms:W3CDTF">2005-03-03T00:31:00Z</dcterms:created>
  <cp:lastPrinted>2019-04-19T08:11:00Z</cp:lastPrinted>
  <dcterms:modified xsi:type="dcterms:W3CDTF">2020-06-24T01:58:33Z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2052-10.8.2.7119</vt:lpwstr>
  </property>
  <property fmtid="{D5CDD505-2E9C-101B-9397-08002B2CF9AE}" pid="3" name="KSOReadingLayout">
    <vt:bool>true</vt:bool>
  </property>
</Properties>
</file>